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3820"/>
  <mc:AlternateContent xmlns:mc="http://schemas.openxmlformats.org/markup-compatibility/2006">
    <mc:Choice Requires="x15">
      <x15ac:absPath xmlns:x15ac="http://schemas.microsoft.com/office/spreadsheetml/2010/11/ac" url="F:\Kantor - PU\[ 1 ] Tugas - Tanggungan\8 Tugas - Mb. Indah\37. Tabel Jumlah Rumah Tangga\"/>
    </mc:Choice>
  </mc:AlternateContent>
  <xr:revisionPtr revIDLastSave="0" documentId="13_ncr:1_{5D4AB153-17B5-4182-A5FD-265778509947}" xr6:coauthVersionLast="45" xr6:coauthVersionMax="45" xr10:uidLastSave="{00000000-0000-0000-0000-000000000000}"/>
  <bookViews>
    <workbookView xWindow="-120" yWindow="-120" windowWidth="20730" windowHeight="11310" firstSheet="2" activeTab="7" xr2:uid="{00000000-000D-0000-FFFF-FFFF00000000}"/>
  </bookViews>
  <sheets>
    <sheet name="List Kab." sheetId="2" r:id="rId1"/>
    <sheet name="Dompu" sheetId="6" r:id="rId2"/>
    <sheet name="Bima" sheetId="8" r:id="rId3"/>
    <sheet name="Sumbawa Barat" sheetId="9" r:id="rId4"/>
    <sheet name="Lombok Barat" sheetId="10" r:id="rId5"/>
    <sheet name="Lombok Utara" sheetId="11" r:id="rId6"/>
    <sheet name="Lombok Tengah" sheetId="12" r:id="rId7"/>
    <sheet name="Sumbawa" sheetId="13" r:id="rId8"/>
  </sheets>
  <definedNames>
    <definedName name="_xlnm.Print_Area" localSheetId="1">Dompu!$A$1:$V$101</definedName>
    <definedName name="_xlnm.Print_Area" localSheetId="4">'Lombok Barat'!$A$1:$W$158</definedName>
    <definedName name="_xlnm.Print_Area" localSheetId="6">'Lombok Tengah'!$A$1:$AH$182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8" i="10" l="1"/>
  <c r="R154" i="10"/>
  <c r="R142" i="10"/>
  <c r="R123" i="10"/>
  <c r="R105" i="10"/>
  <c r="R68" i="10"/>
  <c r="R53" i="10"/>
  <c r="R27" i="10"/>
  <c r="R44" i="10"/>
  <c r="R81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R14" i="10"/>
  <c r="Q199" i="13"/>
  <c r="S199" i="13"/>
  <c r="T199" i="13"/>
  <c r="Q200" i="13"/>
  <c r="S200" i="13"/>
  <c r="T200" i="13"/>
  <c r="Q201" i="13"/>
  <c r="S201" i="13"/>
  <c r="T201" i="13"/>
  <c r="Q202" i="13"/>
  <c r="S202" i="13"/>
  <c r="T202" i="13"/>
  <c r="Q203" i="13"/>
  <c r="S203" i="13"/>
  <c r="T203" i="13"/>
  <c r="Q204" i="13"/>
  <c r="S204" i="13"/>
  <c r="T204" i="13"/>
  <c r="Q205" i="13"/>
  <c r="S205" i="13"/>
  <c r="T205" i="13"/>
  <c r="Q206" i="13"/>
  <c r="S206" i="13"/>
  <c r="T206" i="13"/>
  <c r="T207" i="13"/>
  <c r="Q189" i="13"/>
  <c r="S189" i="13"/>
  <c r="T189" i="13"/>
  <c r="Q190" i="13"/>
  <c r="S190" i="13"/>
  <c r="T190" i="13"/>
  <c r="Q191" i="13"/>
  <c r="S191" i="13"/>
  <c r="T191" i="13"/>
  <c r="Q192" i="13"/>
  <c r="S192" i="13"/>
  <c r="T192" i="13"/>
  <c r="Q193" i="13"/>
  <c r="S193" i="13"/>
  <c r="T193" i="13"/>
  <c r="Q194" i="13"/>
  <c r="S194" i="13"/>
  <c r="T194" i="13"/>
  <c r="Q195" i="13"/>
  <c r="S195" i="13"/>
  <c r="T195" i="13"/>
  <c r="Q196" i="13"/>
  <c r="S196" i="13"/>
  <c r="T196" i="13"/>
  <c r="T197" i="13"/>
  <c r="Q181" i="13"/>
  <c r="S181" i="13"/>
  <c r="T181" i="13"/>
  <c r="Q182" i="13"/>
  <c r="S182" i="13"/>
  <c r="T182" i="13"/>
  <c r="Q183" i="13"/>
  <c r="S183" i="13"/>
  <c r="T183" i="13"/>
  <c r="Q184" i="13"/>
  <c r="S184" i="13"/>
  <c r="T184" i="13"/>
  <c r="Q185" i="13"/>
  <c r="S185" i="13"/>
  <c r="T185" i="13"/>
  <c r="Q186" i="13"/>
  <c r="S186" i="13"/>
  <c r="T186" i="13"/>
  <c r="T187" i="13"/>
  <c r="Q170" i="13"/>
  <c r="S170" i="13"/>
  <c r="T170" i="13"/>
  <c r="Q171" i="13"/>
  <c r="S171" i="13"/>
  <c r="T171" i="13"/>
  <c r="Q172" i="13"/>
  <c r="S172" i="13"/>
  <c r="T172" i="13"/>
  <c r="Q173" i="13"/>
  <c r="S173" i="13"/>
  <c r="T173" i="13"/>
  <c r="Q174" i="13"/>
  <c r="S174" i="13"/>
  <c r="T174" i="13"/>
  <c r="Q175" i="13"/>
  <c r="S175" i="13"/>
  <c r="T175" i="13"/>
  <c r="Q176" i="13"/>
  <c r="S176" i="13"/>
  <c r="T176" i="13"/>
  <c r="Q177" i="13"/>
  <c r="S177" i="13"/>
  <c r="T177" i="13"/>
  <c r="Q178" i="13"/>
  <c r="S178" i="13"/>
  <c r="T178" i="13"/>
  <c r="T179" i="13"/>
  <c r="Q164" i="13"/>
  <c r="S164" i="13"/>
  <c r="T164" i="13"/>
  <c r="Q165" i="13"/>
  <c r="S165" i="13"/>
  <c r="T165" i="13"/>
  <c r="Q166" i="13"/>
  <c r="S166" i="13"/>
  <c r="T166" i="13"/>
  <c r="Q167" i="13"/>
  <c r="S167" i="13"/>
  <c r="T167" i="13"/>
  <c r="T168" i="13"/>
  <c r="Q154" i="13"/>
  <c r="S154" i="13"/>
  <c r="T154" i="13"/>
  <c r="Q155" i="13"/>
  <c r="S155" i="13"/>
  <c r="T155" i="13"/>
  <c r="Q156" i="13"/>
  <c r="S156" i="13"/>
  <c r="T156" i="13"/>
  <c r="Q157" i="13"/>
  <c r="S157" i="13"/>
  <c r="T157" i="13"/>
  <c r="Q158" i="13"/>
  <c r="S158" i="13"/>
  <c r="T158" i="13"/>
  <c r="Q159" i="13"/>
  <c r="S159" i="13"/>
  <c r="T159" i="13"/>
  <c r="Q160" i="13"/>
  <c r="S160" i="13"/>
  <c r="T160" i="13"/>
  <c r="Q161" i="13"/>
  <c r="S161" i="13"/>
  <c r="T161" i="13"/>
  <c r="T162" i="13"/>
  <c r="Q144" i="13"/>
  <c r="S144" i="13"/>
  <c r="T144" i="13"/>
  <c r="Q145" i="13"/>
  <c r="S145" i="13"/>
  <c r="T145" i="13"/>
  <c r="Q146" i="13"/>
  <c r="S146" i="13"/>
  <c r="T146" i="13"/>
  <c r="Q147" i="13"/>
  <c r="S147" i="13"/>
  <c r="T147" i="13"/>
  <c r="Q148" i="13"/>
  <c r="S148" i="13"/>
  <c r="T148" i="13"/>
  <c r="Q149" i="13"/>
  <c r="S149" i="13"/>
  <c r="T149" i="13"/>
  <c r="Q150" i="13"/>
  <c r="S150" i="13"/>
  <c r="T150" i="13"/>
  <c r="Q151" i="13"/>
  <c r="S151" i="13"/>
  <c r="T151" i="13"/>
  <c r="T152" i="13"/>
  <c r="Q136" i="13"/>
  <c r="S136" i="13"/>
  <c r="T136" i="13"/>
  <c r="Q137" i="13"/>
  <c r="S137" i="13"/>
  <c r="T137" i="13"/>
  <c r="Q138" i="13"/>
  <c r="S138" i="13"/>
  <c r="T138" i="13"/>
  <c r="Q139" i="13"/>
  <c r="S139" i="13"/>
  <c r="T139" i="13"/>
  <c r="Q140" i="13"/>
  <c r="S140" i="13"/>
  <c r="T140" i="13"/>
  <c r="Q141" i="13"/>
  <c r="S141" i="13"/>
  <c r="T141" i="13"/>
  <c r="T142" i="13"/>
  <c r="Q130" i="13"/>
  <c r="S130" i="13"/>
  <c r="T130" i="13"/>
  <c r="Q131" i="13"/>
  <c r="S131" i="13"/>
  <c r="T131" i="13"/>
  <c r="Q132" i="13"/>
  <c r="S132" i="13"/>
  <c r="T132" i="13"/>
  <c r="Q133" i="13"/>
  <c r="S133" i="13"/>
  <c r="T133" i="13"/>
  <c r="T134" i="13"/>
  <c r="Q124" i="13"/>
  <c r="S124" i="13"/>
  <c r="T124" i="13"/>
  <c r="Q125" i="13"/>
  <c r="S125" i="13"/>
  <c r="T125" i="13"/>
  <c r="Q126" i="13"/>
  <c r="S126" i="13"/>
  <c r="T126" i="13"/>
  <c r="Q127" i="13"/>
  <c r="S127" i="13"/>
  <c r="T127" i="13"/>
  <c r="T128" i="13"/>
  <c r="Q115" i="13"/>
  <c r="S115" i="13"/>
  <c r="T115" i="13"/>
  <c r="Q116" i="13"/>
  <c r="S116" i="13"/>
  <c r="T116" i="13"/>
  <c r="Q117" i="13"/>
  <c r="S117" i="13"/>
  <c r="T117" i="13"/>
  <c r="Q118" i="13"/>
  <c r="S118" i="13"/>
  <c r="T118" i="13"/>
  <c r="Q119" i="13"/>
  <c r="S119" i="13"/>
  <c r="T119" i="13"/>
  <c r="Q120" i="13"/>
  <c r="S120" i="13"/>
  <c r="T120" i="13"/>
  <c r="Q121" i="13"/>
  <c r="S121" i="13"/>
  <c r="T121" i="13"/>
  <c r="T122" i="13"/>
  <c r="Q108" i="13"/>
  <c r="S108" i="13"/>
  <c r="T108" i="13"/>
  <c r="Q109" i="13"/>
  <c r="S109" i="13"/>
  <c r="T109" i="13"/>
  <c r="Q110" i="13"/>
  <c r="S110" i="13"/>
  <c r="T110" i="13"/>
  <c r="Q111" i="13"/>
  <c r="S111" i="13"/>
  <c r="T111" i="13"/>
  <c r="Q112" i="13"/>
  <c r="S112" i="13"/>
  <c r="T112" i="13"/>
  <c r="T113" i="13"/>
  <c r="Q102" i="13"/>
  <c r="S102" i="13"/>
  <c r="T102" i="13"/>
  <c r="Q103" i="13"/>
  <c r="S103" i="13"/>
  <c r="T103" i="13"/>
  <c r="Q104" i="13"/>
  <c r="S104" i="13"/>
  <c r="T104" i="13"/>
  <c r="Q105" i="13"/>
  <c r="S105" i="13"/>
  <c r="T105" i="13"/>
  <c r="T106" i="13"/>
  <c r="Q88" i="13"/>
  <c r="S88" i="13"/>
  <c r="T88" i="13"/>
  <c r="Q89" i="13"/>
  <c r="S89" i="13"/>
  <c r="T89" i="13"/>
  <c r="Q90" i="13"/>
  <c r="S90" i="13"/>
  <c r="T90" i="13"/>
  <c r="Q91" i="13"/>
  <c r="S91" i="13"/>
  <c r="T91" i="13"/>
  <c r="Q92" i="13"/>
  <c r="S92" i="13"/>
  <c r="T92" i="13"/>
  <c r="Q93" i="13"/>
  <c r="S93" i="13"/>
  <c r="T93" i="13"/>
  <c r="Q94" i="13"/>
  <c r="S94" i="13"/>
  <c r="T94" i="13"/>
  <c r="Q95" i="13"/>
  <c r="S95" i="13"/>
  <c r="T95" i="13"/>
  <c r="Q96" i="13"/>
  <c r="S96" i="13"/>
  <c r="T96" i="13"/>
  <c r="Q97" i="13"/>
  <c r="S97" i="13"/>
  <c r="T97" i="13"/>
  <c r="Q98" i="13"/>
  <c r="S98" i="13"/>
  <c r="T98" i="13"/>
  <c r="Q99" i="13"/>
  <c r="S99" i="13"/>
  <c r="T99" i="13"/>
  <c r="T100" i="13"/>
  <c r="Q80" i="13"/>
  <c r="S80" i="13"/>
  <c r="T80" i="13"/>
  <c r="Q81" i="13"/>
  <c r="S81" i="13"/>
  <c r="T81" i="13"/>
  <c r="Q82" i="13"/>
  <c r="S82" i="13"/>
  <c r="T82" i="13"/>
  <c r="Q83" i="13"/>
  <c r="S83" i="13"/>
  <c r="T83" i="13"/>
  <c r="Q84" i="13"/>
  <c r="S84" i="13"/>
  <c r="T84" i="13"/>
  <c r="Q85" i="13"/>
  <c r="S85" i="13"/>
  <c r="T85" i="13"/>
  <c r="T86" i="13"/>
  <c r="Q68" i="13"/>
  <c r="S68" i="13"/>
  <c r="T68" i="13"/>
  <c r="Q69" i="13"/>
  <c r="S69" i="13"/>
  <c r="T69" i="13"/>
  <c r="Q70" i="13"/>
  <c r="S70" i="13"/>
  <c r="T70" i="13"/>
  <c r="Q71" i="13"/>
  <c r="S71" i="13"/>
  <c r="T71" i="13"/>
  <c r="Q72" i="13"/>
  <c r="S72" i="13"/>
  <c r="T72" i="13"/>
  <c r="Q73" i="13"/>
  <c r="S73" i="13"/>
  <c r="T73" i="13"/>
  <c r="Q74" i="13"/>
  <c r="S74" i="13"/>
  <c r="T74" i="13"/>
  <c r="Q75" i="13"/>
  <c r="S75" i="13"/>
  <c r="T75" i="13"/>
  <c r="Q76" i="13"/>
  <c r="S76" i="13"/>
  <c r="T76" i="13"/>
  <c r="Q77" i="13"/>
  <c r="S77" i="13"/>
  <c r="T77" i="13"/>
  <c r="T78" i="13"/>
  <c r="Q62" i="13"/>
  <c r="S62" i="13"/>
  <c r="T62" i="13"/>
  <c r="Q63" i="13"/>
  <c r="S63" i="13"/>
  <c r="T63" i="13"/>
  <c r="Q64" i="13"/>
  <c r="S64" i="13"/>
  <c r="T64" i="13"/>
  <c r="Q65" i="13"/>
  <c r="S65" i="13"/>
  <c r="T65" i="13"/>
  <c r="T66" i="13"/>
  <c r="Q53" i="13"/>
  <c r="S53" i="13"/>
  <c r="T53" i="13"/>
  <c r="Q54" i="13"/>
  <c r="S54" i="13"/>
  <c r="T54" i="13"/>
  <c r="Q55" i="13"/>
  <c r="S55" i="13"/>
  <c r="T55" i="13"/>
  <c r="Q56" i="13"/>
  <c r="S56" i="13"/>
  <c r="T56" i="13"/>
  <c r="T57" i="13"/>
  <c r="Q47" i="13"/>
  <c r="S47" i="13"/>
  <c r="T47" i="13"/>
  <c r="Q48" i="13"/>
  <c r="S48" i="13"/>
  <c r="T48" i="13"/>
  <c r="Q49" i="13"/>
  <c r="S49" i="13"/>
  <c r="T49" i="13"/>
  <c r="Q50" i="13"/>
  <c r="S50" i="13"/>
  <c r="T50" i="13"/>
  <c r="T51" i="13"/>
  <c r="Q40" i="13"/>
  <c r="S40" i="13"/>
  <c r="T40" i="13"/>
  <c r="Q41" i="13"/>
  <c r="S41" i="13"/>
  <c r="T41" i="13"/>
  <c r="Q42" i="13"/>
  <c r="S42" i="13"/>
  <c r="T42" i="13"/>
  <c r="Q43" i="13"/>
  <c r="S43" i="13"/>
  <c r="T43" i="13"/>
  <c r="Q44" i="13"/>
  <c r="S44" i="13"/>
  <c r="T44" i="13"/>
  <c r="T45" i="13"/>
  <c r="Q27" i="13"/>
  <c r="S27" i="13"/>
  <c r="T27" i="13"/>
  <c r="Q28" i="13"/>
  <c r="S28" i="13"/>
  <c r="T28" i="13"/>
  <c r="Q29" i="13"/>
  <c r="S29" i="13"/>
  <c r="T29" i="13"/>
  <c r="Q30" i="13"/>
  <c r="S30" i="13"/>
  <c r="T30" i="13"/>
  <c r="Q31" i="13"/>
  <c r="S31" i="13"/>
  <c r="T31" i="13"/>
  <c r="Q32" i="13"/>
  <c r="S32" i="13"/>
  <c r="T32" i="13"/>
  <c r="D33" i="13"/>
  <c r="Q33" i="13"/>
  <c r="S33" i="13"/>
  <c r="T33" i="13"/>
  <c r="Q34" i="13"/>
  <c r="S34" i="13"/>
  <c r="T34" i="13"/>
  <c r="Q35" i="13"/>
  <c r="S35" i="13"/>
  <c r="T35" i="13"/>
  <c r="Q36" i="13"/>
  <c r="S36" i="13"/>
  <c r="T36" i="13"/>
  <c r="Q37" i="13"/>
  <c r="S37" i="13"/>
  <c r="T37" i="13"/>
  <c r="T38" i="13"/>
  <c r="Q15" i="13"/>
  <c r="S15" i="13"/>
  <c r="T15" i="13"/>
  <c r="Q16" i="13"/>
  <c r="S16" i="13"/>
  <c r="T16" i="13"/>
  <c r="Q17" i="13"/>
  <c r="S17" i="13"/>
  <c r="T17" i="13"/>
  <c r="Q18" i="13"/>
  <c r="S18" i="13"/>
  <c r="T18" i="13"/>
  <c r="Q19" i="13"/>
  <c r="S19" i="13"/>
  <c r="T19" i="13"/>
  <c r="Q20" i="13"/>
  <c r="S20" i="13"/>
  <c r="T20" i="13"/>
  <c r="Q21" i="13"/>
  <c r="S21" i="13"/>
  <c r="T21" i="13"/>
  <c r="Q22" i="13"/>
  <c r="S22" i="13"/>
  <c r="T22" i="13"/>
  <c r="Q23" i="13"/>
  <c r="S23" i="13"/>
  <c r="T23" i="13"/>
  <c r="Q24" i="13"/>
  <c r="S24" i="13"/>
  <c r="T24" i="13"/>
  <c r="T25" i="13"/>
  <c r="Q5" i="13"/>
  <c r="S5" i="13"/>
  <c r="T5" i="13"/>
  <c r="Q6" i="13"/>
  <c r="S6" i="13"/>
  <c r="T6" i="13"/>
  <c r="Q7" i="13"/>
  <c r="S7" i="13"/>
  <c r="T7" i="13"/>
  <c r="Q8" i="13"/>
  <c r="S8" i="13"/>
  <c r="T8" i="13"/>
  <c r="Q9" i="13"/>
  <c r="S9" i="13"/>
  <c r="T9" i="13"/>
  <c r="Q10" i="13"/>
  <c r="S10" i="13"/>
  <c r="T10" i="13"/>
  <c r="Q11" i="13"/>
  <c r="S11" i="13"/>
  <c r="T11" i="13"/>
  <c r="Q12" i="13"/>
  <c r="S12" i="13"/>
  <c r="T12" i="13"/>
  <c r="T13" i="13"/>
  <c r="Q209" i="13"/>
  <c r="S209" i="13"/>
  <c r="T209" i="13"/>
  <c r="Q210" i="13"/>
  <c r="S210" i="13"/>
  <c r="T210" i="13"/>
  <c r="Q211" i="13"/>
  <c r="S211" i="13"/>
  <c r="T211" i="13"/>
  <c r="Q212" i="13"/>
  <c r="S212" i="13"/>
  <c r="T212" i="13"/>
  <c r="Q213" i="13"/>
  <c r="S213" i="13"/>
  <c r="T213" i="13"/>
  <c r="Q214" i="13"/>
  <c r="S214" i="13"/>
  <c r="T214" i="13"/>
  <c r="Q215" i="13"/>
  <c r="S215" i="13"/>
  <c r="T215" i="13"/>
  <c r="T216" i="13"/>
  <c r="T217" i="13"/>
  <c r="S207" i="13"/>
  <c r="S197" i="13"/>
  <c r="S187" i="13"/>
  <c r="S179" i="13"/>
  <c r="S168" i="13"/>
  <c r="S162" i="13"/>
  <c r="S152" i="13"/>
  <c r="S142" i="13"/>
  <c r="S134" i="13"/>
  <c r="S128" i="13"/>
  <c r="S122" i="13"/>
  <c r="S113" i="13"/>
  <c r="S106" i="13"/>
  <c r="S100" i="13"/>
  <c r="S86" i="13"/>
  <c r="S78" i="13"/>
  <c r="Q59" i="13"/>
  <c r="S59" i="13"/>
  <c r="Q60" i="13"/>
  <c r="S60" i="13"/>
  <c r="Q61" i="13"/>
  <c r="S61" i="13"/>
  <c r="S66" i="13"/>
  <c r="S57" i="13"/>
  <c r="S51" i="13"/>
  <c r="S45" i="13"/>
  <c r="S38" i="13"/>
  <c r="S25" i="13"/>
  <c r="S13" i="13"/>
  <c r="S216" i="13"/>
  <c r="S217" i="13"/>
  <c r="R199" i="13"/>
  <c r="R200" i="13"/>
  <c r="R201" i="13"/>
  <c r="R202" i="13"/>
  <c r="R203" i="13"/>
  <c r="R204" i="13"/>
  <c r="R205" i="13"/>
  <c r="R206" i="13"/>
  <c r="R207" i="13"/>
  <c r="R189" i="13"/>
  <c r="R190" i="13"/>
  <c r="R191" i="13"/>
  <c r="R192" i="13"/>
  <c r="R193" i="13"/>
  <c r="R194" i="13"/>
  <c r="R195" i="13"/>
  <c r="R196" i="13"/>
  <c r="R197" i="13"/>
  <c r="R181" i="13"/>
  <c r="R182" i="13"/>
  <c r="R183" i="13"/>
  <c r="R184" i="13"/>
  <c r="R185" i="13"/>
  <c r="R186" i="13"/>
  <c r="R187" i="13"/>
  <c r="R170" i="13"/>
  <c r="R171" i="13"/>
  <c r="R172" i="13"/>
  <c r="R173" i="13"/>
  <c r="R174" i="13"/>
  <c r="R175" i="13"/>
  <c r="R176" i="13"/>
  <c r="R177" i="13"/>
  <c r="R178" i="13"/>
  <c r="R179" i="13"/>
  <c r="R164" i="13"/>
  <c r="R165" i="13"/>
  <c r="R166" i="13"/>
  <c r="R167" i="13"/>
  <c r="R168" i="13"/>
  <c r="R154" i="13"/>
  <c r="R155" i="13"/>
  <c r="R156" i="13"/>
  <c r="R157" i="13"/>
  <c r="R158" i="13"/>
  <c r="R159" i="13"/>
  <c r="R160" i="13"/>
  <c r="R161" i="13"/>
  <c r="R162" i="13"/>
  <c r="R144" i="13"/>
  <c r="R145" i="13"/>
  <c r="R146" i="13"/>
  <c r="R147" i="13"/>
  <c r="R148" i="13"/>
  <c r="R149" i="13"/>
  <c r="R150" i="13"/>
  <c r="R151" i="13"/>
  <c r="R152" i="13"/>
  <c r="R136" i="13"/>
  <c r="R137" i="13"/>
  <c r="R138" i="13"/>
  <c r="R139" i="13"/>
  <c r="R140" i="13"/>
  <c r="R141" i="13"/>
  <c r="R142" i="13"/>
  <c r="R130" i="13"/>
  <c r="R131" i="13"/>
  <c r="R132" i="13"/>
  <c r="R133" i="13"/>
  <c r="R134" i="13"/>
  <c r="R124" i="13"/>
  <c r="R125" i="13"/>
  <c r="R126" i="13"/>
  <c r="R127" i="13"/>
  <c r="R128" i="13"/>
  <c r="R115" i="13"/>
  <c r="R116" i="13"/>
  <c r="R117" i="13"/>
  <c r="R118" i="13"/>
  <c r="R119" i="13"/>
  <c r="R120" i="13"/>
  <c r="R121" i="13"/>
  <c r="R122" i="13"/>
  <c r="R108" i="13"/>
  <c r="R109" i="13"/>
  <c r="R110" i="13"/>
  <c r="R111" i="13"/>
  <c r="R112" i="13"/>
  <c r="R113" i="13"/>
  <c r="R102" i="13"/>
  <c r="R103" i="13"/>
  <c r="R104" i="13"/>
  <c r="R105" i="13"/>
  <c r="R106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80" i="13"/>
  <c r="R81" i="13"/>
  <c r="R82" i="13"/>
  <c r="R83" i="13"/>
  <c r="R84" i="13"/>
  <c r="R85" i="13"/>
  <c r="R86" i="13"/>
  <c r="R68" i="13"/>
  <c r="R69" i="13"/>
  <c r="R70" i="13"/>
  <c r="R71" i="13"/>
  <c r="R72" i="13"/>
  <c r="R73" i="13"/>
  <c r="R74" i="13"/>
  <c r="R75" i="13"/>
  <c r="R76" i="13"/>
  <c r="R77" i="13"/>
  <c r="R78" i="13"/>
  <c r="R62" i="13"/>
  <c r="R63" i="13"/>
  <c r="R64" i="13"/>
  <c r="R65" i="13"/>
  <c r="R66" i="13"/>
  <c r="R53" i="13"/>
  <c r="R54" i="13"/>
  <c r="R55" i="13"/>
  <c r="R56" i="13"/>
  <c r="R57" i="13"/>
  <c r="R47" i="13"/>
  <c r="R48" i="13"/>
  <c r="R49" i="13"/>
  <c r="R50" i="13"/>
  <c r="R51" i="13"/>
  <c r="R40" i="13"/>
  <c r="R41" i="13"/>
  <c r="R42" i="13"/>
  <c r="R43" i="13"/>
  <c r="R44" i="13"/>
  <c r="R45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15" i="13"/>
  <c r="R16" i="13"/>
  <c r="R17" i="13"/>
  <c r="R18" i="13"/>
  <c r="R19" i="13"/>
  <c r="R20" i="13"/>
  <c r="R21" i="13"/>
  <c r="R22" i="13"/>
  <c r="R23" i="13"/>
  <c r="R24" i="13"/>
  <c r="R25" i="13"/>
  <c r="R5" i="13"/>
  <c r="R6" i="13"/>
  <c r="R7" i="13"/>
  <c r="R8" i="13"/>
  <c r="R9" i="13"/>
  <c r="R10" i="13"/>
  <c r="R11" i="13"/>
  <c r="R12" i="13"/>
  <c r="R13" i="13"/>
  <c r="R209" i="13"/>
  <c r="R210" i="13"/>
  <c r="R211" i="13"/>
  <c r="R212" i="13"/>
  <c r="R213" i="13"/>
  <c r="R214" i="13"/>
  <c r="R215" i="13"/>
  <c r="R216" i="13"/>
  <c r="R217" i="13"/>
  <c r="Q207" i="13"/>
  <c r="Q197" i="13"/>
  <c r="Q187" i="13"/>
  <c r="Q179" i="13"/>
  <c r="Q168" i="13"/>
  <c r="Q162" i="13"/>
  <c r="Q152" i="13"/>
  <c r="Q142" i="13"/>
  <c r="Q134" i="13"/>
  <c r="Q128" i="13"/>
  <c r="Q122" i="13"/>
  <c r="Q113" i="13"/>
  <c r="Q106" i="13"/>
  <c r="Q100" i="13"/>
  <c r="Q86" i="13"/>
  <c r="Q78" i="13"/>
  <c r="Q66" i="13"/>
  <c r="Q57" i="13"/>
  <c r="Q51" i="13"/>
  <c r="Q45" i="13"/>
  <c r="Q38" i="13"/>
  <c r="Q25" i="13"/>
  <c r="Q13" i="13"/>
  <c r="Q216" i="13"/>
  <c r="Q217" i="13"/>
  <c r="P199" i="13"/>
  <c r="P200" i="13"/>
  <c r="P201" i="13"/>
  <c r="P202" i="13"/>
  <c r="P203" i="13"/>
  <c r="P204" i="13"/>
  <c r="P205" i="13"/>
  <c r="P206" i="13"/>
  <c r="P207" i="13"/>
  <c r="P189" i="13"/>
  <c r="P190" i="13"/>
  <c r="P191" i="13"/>
  <c r="P192" i="13"/>
  <c r="P193" i="13"/>
  <c r="P194" i="13"/>
  <c r="P195" i="13"/>
  <c r="P196" i="13"/>
  <c r="P197" i="13"/>
  <c r="P181" i="13"/>
  <c r="P182" i="13"/>
  <c r="P183" i="13"/>
  <c r="P184" i="13"/>
  <c r="P185" i="13"/>
  <c r="P186" i="13"/>
  <c r="P187" i="13"/>
  <c r="P170" i="13"/>
  <c r="P171" i="13"/>
  <c r="P172" i="13"/>
  <c r="P173" i="13"/>
  <c r="P174" i="13"/>
  <c r="P175" i="13"/>
  <c r="P176" i="13"/>
  <c r="P177" i="13"/>
  <c r="P178" i="13"/>
  <c r="P179" i="13"/>
  <c r="P164" i="13"/>
  <c r="P165" i="13"/>
  <c r="P166" i="13"/>
  <c r="P167" i="13"/>
  <c r="P168" i="13"/>
  <c r="P154" i="13"/>
  <c r="P155" i="13"/>
  <c r="P156" i="13"/>
  <c r="P157" i="13"/>
  <c r="P158" i="13"/>
  <c r="P159" i="13"/>
  <c r="P160" i="13"/>
  <c r="P161" i="13"/>
  <c r="P162" i="13"/>
  <c r="P144" i="13"/>
  <c r="P145" i="13"/>
  <c r="P146" i="13"/>
  <c r="P147" i="13"/>
  <c r="P148" i="13"/>
  <c r="P149" i="13"/>
  <c r="P150" i="13"/>
  <c r="P151" i="13"/>
  <c r="P152" i="13"/>
  <c r="P136" i="13"/>
  <c r="P137" i="13"/>
  <c r="P138" i="13"/>
  <c r="P139" i="13"/>
  <c r="P140" i="13"/>
  <c r="P141" i="13"/>
  <c r="P142" i="13"/>
  <c r="P130" i="13"/>
  <c r="P131" i="13"/>
  <c r="P132" i="13"/>
  <c r="P133" i="13"/>
  <c r="P134" i="13"/>
  <c r="P124" i="13"/>
  <c r="P125" i="13"/>
  <c r="P126" i="13"/>
  <c r="P127" i="13"/>
  <c r="P128" i="13"/>
  <c r="P115" i="13"/>
  <c r="P116" i="13"/>
  <c r="P117" i="13"/>
  <c r="P118" i="13"/>
  <c r="P119" i="13"/>
  <c r="P120" i="13"/>
  <c r="P121" i="13"/>
  <c r="P122" i="13"/>
  <c r="P108" i="13"/>
  <c r="P109" i="13"/>
  <c r="P110" i="13"/>
  <c r="P111" i="13"/>
  <c r="P112" i="13"/>
  <c r="P113" i="13"/>
  <c r="P102" i="13"/>
  <c r="P103" i="13"/>
  <c r="P104" i="13"/>
  <c r="P105" i="13"/>
  <c r="P106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80" i="13"/>
  <c r="P81" i="13"/>
  <c r="P82" i="13"/>
  <c r="P83" i="13"/>
  <c r="P84" i="13"/>
  <c r="P85" i="13"/>
  <c r="P86" i="13"/>
  <c r="P68" i="13"/>
  <c r="P69" i="13"/>
  <c r="P70" i="13"/>
  <c r="P71" i="13"/>
  <c r="P72" i="13"/>
  <c r="P73" i="13"/>
  <c r="P74" i="13"/>
  <c r="P75" i="13"/>
  <c r="P76" i="13"/>
  <c r="P77" i="13"/>
  <c r="P78" i="13"/>
  <c r="P62" i="13"/>
  <c r="P63" i="13"/>
  <c r="P64" i="13"/>
  <c r="P65" i="13"/>
  <c r="P66" i="13"/>
  <c r="P53" i="13"/>
  <c r="P54" i="13"/>
  <c r="P55" i="13"/>
  <c r="P56" i="13"/>
  <c r="P57" i="13"/>
  <c r="P47" i="13"/>
  <c r="P48" i="13"/>
  <c r="P49" i="13"/>
  <c r="P50" i="13"/>
  <c r="P51" i="13"/>
  <c r="P40" i="13"/>
  <c r="P41" i="13"/>
  <c r="P42" i="13"/>
  <c r="P43" i="13"/>
  <c r="P44" i="13"/>
  <c r="P45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15" i="13"/>
  <c r="P16" i="13"/>
  <c r="P17" i="13"/>
  <c r="P18" i="13"/>
  <c r="P19" i="13"/>
  <c r="P20" i="13"/>
  <c r="P21" i="13"/>
  <c r="P22" i="13"/>
  <c r="P23" i="13"/>
  <c r="P24" i="13"/>
  <c r="P25" i="13"/>
  <c r="P5" i="13"/>
  <c r="P6" i="13"/>
  <c r="P7" i="13"/>
  <c r="P8" i="13"/>
  <c r="P9" i="13"/>
  <c r="P10" i="13"/>
  <c r="P11" i="13"/>
  <c r="P12" i="13"/>
  <c r="P13" i="13"/>
  <c r="P209" i="13"/>
  <c r="P210" i="13"/>
  <c r="P211" i="13"/>
  <c r="P212" i="13"/>
  <c r="P213" i="13"/>
  <c r="P214" i="13"/>
  <c r="P215" i="13"/>
  <c r="P216" i="13"/>
  <c r="P217" i="13"/>
  <c r="O207" i="13"/>
  <c r="O197" i="13"/>
  <c r="O187" i="13"/>
  <c r="O179" i="13"/>
  <c r="O168" i="13"/>
  <c r="O162" i="13"/>
  <c r="O152" i="13"/>
  <c r="O142" i="13"/>
  <c r="O134" i="13"/>
  <c r="O128" i="13"/>
  <c r="O122" i="13"/>
  <c r="O113" i="13"/>
  <c r="O106" i="13"/>
  <c r="O100" i="13"/>
  <c r="O86" i="13"/>
  <c r="O78" i="13"/>
  <c r="O66" i="13"/>
  <c r="O57" i="13"/>
  <c r="O51" i="13"/>
  <c r="O45" i="13"/>
  <c r="O38" i="13"/>
  <c r="O25" i="13"/>
  <c r="O13" i="13"/>
  <c r="O216" i="13"/>
  <c r="O217" i="13"/>
  <c r="N199" i="13"/>
  <c r="N200" i="13"/>
  <c r="N201" i="13"/>
  <c r="N202" i="13"/>
  <c r="N203" i="13"/>
  <c r="N204" i="13"/>
  <c r="N205" i="13"/>
  <c r="N206" i="13"/>
  <c r="N207" i="13"/>
  <c r="N189" i="13"/>
  <c r="N190" i="13"/>
  <c r="N191" i="13"/>
  <c r="N192" i="13"/>
  <c r="N193" i="13"/>
  <c r="N194" i="13"/>
  <c r="N195" i="13"/>
  <c r="N196" i="13"/>
  <c r="N197" i="13"/>
  <c r="N181" i="13"/>
  <c r="N182" i="13"/>
  <c r="N183" i="13"/>
  <c r="N184" i="13"/>
  <c r="N185" i="13"/>
  <c r="N186" i="13"/>
  <c r="N187" i="13"/>
  <c r="N170" i="13"/>
  <c r="N171" i="13"/>
  <c r="N172" i="13"/>
  <c r="N173" i="13"/>
  <c r="N174" i="13"/>
  <c r="N175" i="13"/>
  <c r="N176" i="13"/>
  <c r="N177" i="13"/>
  <c r="N178" i="13"/>
  <c r="N179" i="13"/>
  <c r="N164" i="13"/>
  <c r="N165" i="13"/>
  <c r="N166" i="13"/>
  <c r="N167" i="13"/>
  <c r="N168" i="13"/>
  <c r="N154" i="13"/>
  <c r="N155" i="13"/>
  <c r="N156" i="13"/>
  <c r="N157" i="13"/>
  <c r="N158" i="13"/>
  <c r="N159" i="13"/>
  <c r="N160" i="13"/>
  <c r="N161" i="13"/>
  <c r="N162" i="13"/>
  <c r="N144" i="13"/>
  <c r="N145" i="13"/>
  <c r="N146" i="13"/>
  <c r="N147" i="13"/>
  <c r="N148" i="13"/>
  <c r="N149" i="13"/>
  <c r="N150" i="13"/>
  <c r="N151" i="13"/>
  <c r="N152" i="13"/>
  <c r="N136" i="13"/>
  <c r="N137" i="13"/>
  <c r="N138" i="13"/>
  <c r="N139" i="13"/>
  <c r="N140" i="13"/>
  <c r="N141" i="13"/>
  <c r="N142" i="13"/>
  <c r="N130" i="13"/>
  <c r="N131" i="13"/>
  <c r="N132" i="13"/>
  <c r="N133" i="13"/>
  <c r="N134" i="13"/>
  <c r="N124" i="13"/>
  <c r="N125" i="13"/>
  <c r="N126" i="13"/>
  <c r="N127" i="13"/>
  <c r="N128" i="13"/>
  <c r="N115" i="13"/>
  <c r="N116" i="13"/>
  <c r="N117" i="13"/>
  <c r="N118" i="13"/>
  <c r="N119" i="13"/>
  <c r="N120" i="13"/>
  <c r="N121" i="13"/>
  <c r="N122" i="13"/>
  <c r="N108" i="13"/>
  <c r="N109" i="13"/>
  <c r="N110" i="13"/>
  <c r="N111" i="13"/>
  <c r="N112" i="13"/>
  <c r="N113" i="13"/>
  <c r="N102" i="13"/>
  <c r="N103" i="13"/>
  <c r="N104" i="13"/>
  <c r="N105" i="13"/>
  <c r="N106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80" i="13"/>
  <c r="N81" i="13"/>
  <c r="N82" i="13"/>
  <c r="N83" i="13"/>
  <c r="N84" i="13"/>
  <c r="N85" i="13"/>
  <c r="N86" i="13"/>
  <c r="N68" i="13"/>
  <c r="N69" i="13"/>
  <c r="N70" i="13"/>
  <c r="N71" i="13"/>
  <c r="N72" i="13"/>
  <c r="N73" i="13"/>
  <c r="N74" i="13"/>
  <c r="N75" i="13"/>
  <c r="N76" i="13"/>
  <c r="N77" i="13"/>
  <c r="N78" i="13"/>
  <c r="N62" i="13"/>
  <c r="N63" i="13"/>
  <c r="N64" i="13"/>
  <c r="N65" i="13"/>
  <c r="N66" i="13"/>
  <c r="N53" i="13"/>
  <c r="N54" i="13"/>
  <c r="N55" i="13"/>
  <c r="N56" i="13"/>
  <c r="N57" i="13"/>
  <c r="N47" i="13"/>
  <c r="N48" i="13"/>
  <c r="N49" i="13"/>
  <c r="N50" i="13"/>
  <c r="N51" i="13"/>
  <c r="N40" i="13"/>
  <c r="N41" i="13"/>
  <c r="N42" i="13"/>
  <c r="N43" i="13"/>
  <c r="N44" i="13"/>
  <c r="N4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15" i="13"/>
  <c r="N16" i="13"/>
  <c r="N17" i="13"/>
  <c r="N18" i="13"/>
  <c r="N19" i="13"/>
  <c r="N20" i="13"/>
  <c r="N21" i="13"/>
  <c r="N22" i="13"/>
  <c r="N23" i="13"/>
  <c r="N24" i="13"/>
  <c r="N25" i="13"/>
  <c r="N5" i="13"/>
  <c r="N6" i="13"/>
  <c r="N7" i="13"/>
  <c r="N8" i="13"/>
  <c r="N9" i="13"/>
  <c r="N10" i="13"/>
  <c r="N11" i="13"/>
  <c r="N12" i="13"/>
  <c r="N13" i="13"/>
  <c r="N209" i="13"/>
  <c r="N210" i="13"/>
  <c r="N211" i="13"/>
  <c r="N212" i="13"/>
  <c r="N213" i="13"/>
  <c r="N214" i="13"/>
  <c r="N215" i="13"/>
  <c r="N216" i="13"/>
  <c r="N217" i="13"/>
  <c r="M207" i="13"/>
  <c r="M197" i="13"/>
  <c r="M187" i="13"/>
  <c r="M179" i="13"/>
  <c r="M168" i="13"/>
  <c r="M162" i="13"/>
  <c r="M152" i="13"/>
  <c r="M142" i="13"/>
  <c r="M134" i="13"/>
  <c r="M128" i="13"/>
  <c r="M122" i="13"/>
  <c r="M113" i="13"/>
  <c r="M106" i="13"/>
  <c r="M100" i="13"/>
  <c r="M86" i="13"/>
  <c r="M78" i="13"/>
  <c r="M66" i="13"/>
  <c r="M57" i="13"/>
  <c r="M51" i="13"/>
  <c r="M45" i="13"/>
  <c r="M38" i="13"/>
  <c r="M25" i="13"/>
  <c r="M13" i="13"/>
  <c r="M216" i="13"/>
  <c r="M217" i="13"/>
  <c r="L199" i="13"/>
  <c r="L200" i="13"/>
  <c r="L201" i="13"/>
  <c r="L202" i="13"/>
  <c r="L203" i="13"/>
  <c r="L204" i="13"/>
  <c r="L205" i="13"/>
  <c r="L206" i="13"/>
  <c r="L207" i="13"/>
  <c r="L189" i="13"/>
  <c r="L190" i="13"/>
  <c r="L191" i="13"/>
  <c r="L192" i="13"/>
  <c r="L193" i="13"/>
  <c r="L194" i="13"/>
  <c r="L195" i="13"/>
  <c r="L196" i="13"/>
  <c r="L197" i="13"/>
  <c r="L181" i="13"/>
  <c r="L182" i="13"/>
  <c r="L183" i="13"/>
  <c r="L184" i="13"/>
  <c r="L185" i="13"/>
  <c r="L186" i="13"/>
  <c r="L187" i="13"/>
  <c r="L170" i="13"/>
  <c r="L171" i="13"/>
  <c r="L172" i="13"/>
  <c r="L173" i="13"/>
  <c r="L174" i="13"/>
  <c r="L175" i="13"/>
  <c r="L176" i="13"/>
  <c r="L177" i="13"/>
  <c r="L178" i="13"/>
  <c r="L179" i="13"/>
  <c r="L164" i="13"/>
  <c r="L165" i="13"/>
  <c r="L166" i="13"/>
  <c r="L167" i="13"/>
  <c r="L168" i="13"/>
  <c r="L154" i="13"/>
  <c r="L155" i="13"/>
  <c r="L156" i="13"/>
  <c r="L157" i="13"/>
  <c r="L158" i="13"/>
  <c r="L159" i="13"/>
  <c r="L160" i="13"/>
  <c r="L161" i="13"/>
  <c r="L162" i="13"/>
  <c r="L144" i="13"/>
  <c r="L145" i="13"/>
  <c r="L146" i="13"/>
  <c r="L147" i="13"/>
  <c r="L148" i="13"/>
  <c r="L149" i="13"/>
  <c r="L150" i="13"/>
  <c r="L151" i="13"/>
  <c r="L152" i="13"/>
  <c r="L136" i="13"/>
  <c r="L137" i="13"/>
  <c r="L138" i="13"/>
  <c r="L139" i="13"/>
  <c r="L140" i="13"/>
  <c r="L141" i="13"/>
  <c r="L142" i="13"/>
  <c r="L130" i="13"/>
  <c r="L131" i="13"/>
  <c r="L133" i="13"/>
  <c r="L134" i="13"/>
  <c r="L124" i="13"/>
  <c r="L125" i="13"/>
  <c r="L126" i="13"/>
  <c r="L127" i="13"/>
  <c r="L128" i="13"/>
  <c r="L115" i="13"/>
  <c r="L116" i="13"/>
  <c r="L117" i="13"/>
  <c r="L118" i="13"/>
  <c r="L119" i="13"/>
  <c r="L120" i="13"/>
  <c r="L121" i="13"/>
  <c r="L122" i="13"/>
  <c r="L108" i="13"/>
  <c r="L109" i="13"/>
  <c r="L110" i="13"/>
  <c r="L111" i="13"/>
  <c r="L112" i="13"/>
  <c r="L113" i="13"/>
  <c r="L102" i="13"/>
  <c r="L103" i="13"/>
  <c r="L104" i="13"/>
  <c r="L105" i="13"/>
  <c r="L106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80" i="13"/>
  <c r="L81" i="13"/>
  <c r="L82" i="13"/>
  <c r="L83" i="13"/>
  <c r="L84" i="13"/>
  <c r="L85" i="13"/>
  <c r="L86" i="13"/>
  <c r="L68" i="13"/>
  <c r="L69" i="13"/>
  <c r="L70" i="13"/>
  <c r="L71" i="13"/>
  <c r="L72" i="13"/>
  <c r="L73" i="13"/>
  <c r="L74" i="13"/>
  <c r="L75" i="13"/>
  <c r="L76" i="13"/>
  <c r="L77" i="13"/>
  <c r="L78" i="13"/>
  <c r="L62" i="13"/>
  <c r="L63" i="13"/>
  <c r="L64" i="13"/>
  <c r="L65" i="13"/>
  <c r="L66" i="13"/>
  <c r="L53" i="13"/>
  <c r="L54" i="13"/>
  <c r="L55" i="13"/>
  <c r="L56" i="13"/>
  <c r="L57" i="13"/>
  <c r="L47" i="13"/>
  <c r="L48" i="13"/>
  <c r="L49" i="13"/>
  <c r="L50" i="13"/>
  <c r="L51" i="13"/>
  <c r="L40" i="13"/>
  <c r="L41" i="13"/>
  <c r="L42" i="13"/>
  <c r="L43" i="13"/>
  <c r="L44" i="13"/>
  <c r="L45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15" i="13"/>
  <c r="L16" i="13"/>
  <c r="L17" i="13"/>
  <c r="L18" i="13"/>
  <c r="L19" i="13"/>
  <c r="L20" i="13"/>
  <c r="L21" i="13"/>
  <c r="L22" i="13"/>
  <c r="L23" i="13"/>
  <c r="L24" i="13"/>
  <c r="L25" i="13"/>
  <c r="L5" i="13"/>
  <c r="L6" i="13"/>
  <c r="L7" i="13"/>
  <c r="L8" i="13"/>
  <c r="L9" i="13"/>
  <c r="L10" i="13"/>
  <c r="L11" i="13"/>
  <c r="L12" i="13"/>
  <c r="L13" i="13"/>
  <c r="L209" i="13"/>
  <c r="L210" i="13"/>
  <c r="L211" i="13"/>
  <c r="L212" i="13"/>
  <c r="L213" i="13"/>
  <c r="L214" i="13"/>
  <c r="L215" i="13"/>
  <c r="L216" i="13"/>
  <c r="L217" i="13"/>
  <c r="K207" i="13"/>
  <c r="K197" i="13"/>
  <c r="K187" i="13"/>
  <c r="K179" i="13"/>
  <c r="K168" i="13"/>
  <c r="K162" i="13"/>
  <c r="K152" i="13"/>
  <c r="K142" i="13"/>
  <c r="K134" i="13"/>
  <c r="K128" i="13"/>
  <c r="K122" i="13"/>
  <c r="K113" i="13"/>
  <c r="K106" i="13"/>
  <c r="K100" i="13"/>
  <c r="K86" i="13"/>
  <c r="K78" i="13"/>
  <c r="K66" i="13"/>
  <c r="K57" i="13"/>
  <c r="K51" i="13"/>
  <c r="K45" i="13"/>
  <c r="K38" i="13"/>
  <c r="K25" i="13"/>
  <c r="K13" i="13"/>
  <c r="K216" i="13"/>
  <c r="K217" i="13"/>
  <c r="J199" i="13"/>
  <c r="J200" i="13"/>
  <c r="J201" i="13"/>
  <c r="J202" i="13"/>
  <c r="J203" i="13"/>
  <c r="J204" i="13"/>
  <c r="J205" i="13"/>
  <c r="J206" i="13"/>
  <c r="J207" i="13"/>
  <c r="J189" i="13"/>
  <c r="J190" i="13"/>
  <c r="J191" i="13"/>
  <c r="J192" i="13"/>
  <c r="J193" i="13"/>
  <c r="J194" i="13"/>
  <c r="J195" i="13"/>
  <c r="J196" i="13"/>
  <c r="J197" i="13"/>
  <c r="J181" i="13"/>
  <c r="J182" i="13"/>
  <c r="J183" i="13"/>
  <c r="J184" i="13"/>
  <c r="J185" i="13"/>
  <c r="J186" i="13"/>
  <c r="J187" i="13"/>
  <c r="J170" i="13"/>
  <c r="J171" i="13"/>
  <c r="J172" i="13"/>
  <c r="J173" i="13"/>
  <c r="J174" i="13"/>
  <c r="J175" i="13"/>
  <c r="J176" i="13"/>
  <c r="J177" i="13"/>
  <c r="J178" i="13"/>
  <c r="J179" i="13"/>
  <c r="J164" i="13"/>
  <c r="J165" i="13"/>
  <c r="J166" i="13"/>
  <c r="J167" i="13"/>
  <c r="J168" i="13"/>
  <c r="J154" i="13"/>
  <c r="J155" i="13"/>
  <c r="J156" i="13"/>
  <c r="J157" i="13"/>
  <c r="J158" i="13"/>
  <c r="J159" i="13"/>
  <c r="J160" i="13"/>
  <c r="J161" i="13"/>
  <c r="J162" i="13"/>
  <c r="J144" i="13"/>
  <c r="J145" i="13"/>
  <c r="J146" i="13"/>
  <c r="J147" i="13"/>
  <c r="J148" i="13"/>
  <c r="J149" i="13"/>
  <c r="J150" i="13"/>
  <c r="J151" i="13"/>
  <c r="J152" i="13"/>
  <c r="J136" i="13"/>
  <c r="J137" i="13"/>
  <c r="J138" i="13"/>
  <c r="J139" i="13"/>
  <c r="J140" i="13"/>
  <c r="J141" i="13"/>
  <c r="J142" i="13"/>
  <c r="J130" i="13"/>
  <c r="J131" i="13"/>
  <c r="J132" i="13"/>
  <c r="J133" i="13"/>
  <c r="J134" i="13"/>
  <c r="J124" i="13"/>
  <c r="J125" i="13"/>
  <c r="J126" i="13"/>
  <c r="J127" i="13"/>
  <c r="J128" i="13"/>
  <c r="J115" i="13"/>
  <c r="J116" i="13"/>
  <c r="J117" i="13"/>
  <c r="J118" i="13"/>
  <c r="J119" i="13"/>
  <c r="J120" i="13"/>
  <c r="J121" i="13"/>
  <c r="J122" i="13"/>
  <c r="J108" i="13"/>
  <c r="J109" i="13"/>
  <c r="J110" i="13"/>
  <c r="J111" i="13"/>
  <c r="J112" i="13"/>
  <c r="J113" i="13"/>
  <c r="J102" i="13"/>
  <c r="J103" i="13"/>
  <c r="J104" i="13"/>
  <c r="J105" i="13"/>
  <c r="J106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80" i="13"/>
  <c r="J81" i="13"/>
  <c r="J82" i="13"/>
  <c r="J83" i="13"/>
  <c r="J84" i="13"/>
  <c r="J85" i="13"/>
  <c r="J86" i="13"/>
  <c r="J68" i="13"/>
  <c r="J69" i="13"/>
  <c r="J70" i="13"/>
  <c r="J71" i="13"/>
  <c r="J72" i="13"/>
  <c r="J73" i="13"/>
  <c r="J74" i="13"/>
  <c r="J75" i="13"/>
  <c r="J76" i="13"/>
  <c r="J77" i="13"/>
  <c r="J78" i="13"/>
  <c r="J62" i="13"/>
  <c r="J63" i="13"/>
  <c r="J64" i="13"/>
  <c r="J65" i="13"/>
  <c r="J66" i="13"/>
  <c r="J53" i="13"/>
  <c r="J54" i="13"/>
  <c r="J55" i="13"/>
  <c r="J56" i="13"/>
  <c r="J57" i="13"/>
  <c r="J47" i="13"/>
  <c r="J48" i="13"/>
  <c r="J49" i="13"/>
  <c r="J50" i="13"/>
  <c r="J51" i="13"/>
  <c r="J40" i="13"/>
  <c r="J41" i="13"/>
  <c r="J42" i="13"/>
  <c r="J43" i="13"/>
  <c r="J44" i="13"/>
  <c r="J45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15" i="13"/>
  <c r="J16" i="13"/>
  <c r="J17" i="13"/>
  <c r="J18" i="13"/>
  <c r="J19" i="13"/>
  <c r="J20" i="13"/>
  <c r="J21" i="13"/>
  <c r="J22" i="13"/>
  <c r="J23" i="13"/>
  <c r="J24" i="13"/>
  <c r="J25" i="13"/>
  <c r="J5" i="13"/>
  <c r="J6" i="13"/>
  <c r="J7" i="13"/>
  <c r="J8" i="13"/>
  <c r="J9" i="13"/>
  <c r="J10" i="13"/>
  <c r="J11" i="13"/>
  <c r="J12" i="13"/>
  <c r="J13" i="13"/>
  <c r="J209" i="13"/>
  <c r="J210" i="13"/>
  <c r="J211" i="13"/>
  <c r="J212" i="13"/>
  <c r="J213" i="13"/>
  <c r="J214" i="13"/>
  <c r="J215" i="13"/>
  <c r="J216" i="13"/>
  <c r="J217" i="13"/>
  <c r="I207" i="13"/>
  <c r="I197" i="13"/>
  <c r="I187" i="13"/>
  <c r="I179" i="13"/>
  <c r="I168" i="13"/>
  <c r="I162" i="13"/>
  <c r="I152" i="13"/>
  <c r="I142" i="13"/>
  <c r="I134" i="13"/>
  <c r="I128" i="13"/>
  <c r="I122" i="13"/>
  <c r="I113" i="13"/>
  <c r="I106" i="13"/>
  <c r="I100" i="13"/>
  <c r="I86" i="13"/>
  <c r="I78" i="13"/>
  <c r="I66" i="13"/>
  <c r="I57" i="13"/>
  <c r="I51" i="13"/>
  <c r="I45" i="13"/>
  <c r="I38" i="13"/>
  <c r="I25" i="13"/>
  <c r="I13" i="13"/>
  <c r="I216" i="13"/>
  <c r="I217" i="13"/>
  <c r="H199" i="13"/>
  <c r="H200" i="13"/>
  <c r="H201" i="13"/>
  <c r="H202" i="13"/>
  <c r="H203" i="13"/>
  <c r="H204" i="13"/>
  <c r="H205" i="13"/>
  <c r="H206" i="13"/>
  <c r="H207" i="13"/>
  <c r="H189" i="13"/>
  <c r="H190" i="13"/>
  <c r="H191" i="13"/>
  <c r="H192" i="13"/>
  <c r="H193" i="13"/>
  <c r="H194" i="13"/>
  <c r="H195" i="13"/>
  <c r="H196" i="13"/>
  <c r="H197" i="13"/>
  <c r="H181" i="13"/>
  <c r="H182" i="13"/>
  <c r="H183" i="13"/>
  <c r="H184" i="13"/>
  <c r="H185" i="13"/>
  <c r="H186" i="13"/>
  <c r="H187" i="13"/>
  <c r="H170" i="13"/>
  <c r="H171" i="13"/>
  <c r="H172" i="13"/>
  <c r="H173" i="13"/>
  <c r="H174" i="13"/>
  <c r="H175" i="13"/>
  <c r="H176" i="13"/>
  <c r="H177" i="13"/>
  <c r="H178" i="13"/>
  <c r="H179" i="13"/>
  <c r="H164" i="13"/>
  <c r="H165" i="13"/>
  <c r="H166" i="13"/>
  <c r="H167" i="13"/>
  <c r="H168" i="13"/>
  <c r="H154" i="13"/>
  <c r="H155" i="13"/>
  <c r="H156" i="13"/>
  <c r="H157" i="13"/>
  <c r="H158" i="13"/>
  <c r="H159" i="13"/>
  <c r="H160" i="13"/>
  <c r="H161" i="13"/>
  <c r="H162" i="13"/>
  <c r="H144" i="13"/>
  <c r="H145" i="13"/>
  <c r="H146" i="13"/>
  <c r="H147" i="13"/>
  <c r="H148" i="13"/>
  <c r="H149" i="13"/>
  <c r="H150" i="13"/>
  <c r="H151" i="13"/>
  <c r="H152" i="13"/>
  <c r="H136" i="13"/>
  <c r="H137" i="13"/>
  <c r="H138" i="13"/>
  <c r="H139" i="13"/>
  <c r="H140" i="13"/>
  <c r="H141" i="13"/>
  <c r="H142" i="13"/>
  <c r="H130" i="13"/>
  <c r="H131" i="13"/>
  <c r="H132" i="13"/>
  <c r="H133" i="13"/>
  <c r="H134" i="13"/>
  <c r="H124" i="13"/>
  <c r="H125" i="13"/>
  <c r="H126" i="13"/>
  <c r="H127" i="13"/>
  <c r="H128" i="13"/>
  <c r="H115" i="13"/>
  <c r="H116" i="13"/>
  <c r="H117" i="13"/>
  <c r="H118" i="13"/>
  <c r="H119" i="13"/>
  <c r="H120" i="13"/>
  <c r="H121" i="13"/>
  <c r="H122" i="13"/>
  <c r="H108" i="13"/>
  <c r="H109" i="13"/>
  <c r="H110" i="13"/>
  <c r="H111" i="13"/>
  <c r="H112" i="13"/>
  <c r="H113" i="13"/>
  <c r="H102" i="13"/>
  <c r="H103" i="13"/>
  <c r="H104" i="13"/>
  <c r="H105" i="13"/>
  <c r="H106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80" i="13"/>
  <c r="H81" i="13"/>
  <c r="H82" i="13"/>
  <c r="H83" i="13"/>
  <c r="H84" i="13"/>
  <c r="H85" i="13"/>
  <c r="H86" i="13"/>
  <c r="H68" i="13"/>
  <c r="H69" i="13"/>
  <c r="H70" i="13"/>
  <c r="H71" i="13"/>
  <c r="H72" i="13"/>
  <c r="H73" i="13"/>
  <c r="H74" i="13"/>
  <c r="H75" i="13"/>
  <c r="H76" i="13"/>
  <c r="H77" i="13"/>
  <c r="H78" i="13"/>
  <c r="H62" i="13"/>
  <c r="H63" i="13"/>
  <c r="H64" i="13"/>
  <c r="H65" i="13"/>
  <c r="H66" i="13"/>
  <c r="H53" i="13"/>
  <c r="H54" i="13"/>
  <c r="H55" i="13"/>
  <c r="H56" i="13"/>
  <c r="H57" i="13"/>
  <c r="H47" i="13"/>
  <c r="H48" i="13"/>
  <c r="H49" i="13"/>
  <c r="H50" i="13"/>
  <c r="H51" i="13"/>
  <c r="H40" i="13"/>
  <c r="H41" i="13"/>
  <c r="H42" i="13"/>
  <c r="H43" i="13"/>
  <c r="H44" i="13"/>
  <c r="H45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15" i="13"/>
  <c r="H16" i="13"/>
  <c r="H17" i="13"/>
  <c r="H18" i="13"/>
  <c r="H19" i="13"/>
  <c r="H20" i="13"/>
  <c r="H21" i="13"/>
  <c r="H22" i="13"/>
  <c r="H23" i="13"/>
  <c r="H24" i="13"/>
  <c r="H25" i="13"/>
  <c r="H5" i="13"/>
  <c r="H6" i="13"/>
  <c r="H7" i="13"/>
  <c r="H8" i="13"/>
  <c r="H9" i="13"/>
  <c r="H10" i="13"/>
  <c r="H11" i="13"/>
  <c r="H12" i="13"/>
  <c r="H13" i="13"/>
  <c r="H209" i="13"/>
  <c r="H210" i="13"/>
  <c r="H211" i="13"/>
  <c r="H212" i="13"/>
  <c r="H213" i="13"/>
  <c r="H214" i="13"/>
  <c r="H215" i="13"/>
  <c r="H216" i="13"/>
  <c r="H217" i="13"/>
  <c r="G207" i="13"/>
  <c r="G197" i="13"/>
  <c r="G187" i="13"/>
  <c r="G179" i="13"/>
  <c r="G168" i="13"/>
  <c r="G162" i="13"/>
  <c r="G152" i="13"/>
  <c r="G142" i="13"/>
  <c r="G134" i="13"/>
  <c r="G128" i="13"/>
  <c r="G122" i="13"/>
  <c r="G113" i="13"/>
  <c r="G106" i="13"/>
  <c r="G100" i="13"/>
  <c r="G86" i="13"/>
  <c r="G78" i="13"/>
  <c r="G66" i="13"/>
  <c r="G57" i="13"/>
  <c r="G51" i="13"/>
  <c r="G45" i="13"/>
  <c r="G38" i="13"/>
  <c r="G25" i="13"/>
  <c r="G13" i="13"/>
  <c r="G216" i="13"/>
  <c r="G217" i="13"/>
  <c r="F199" i="13"/>
  <c r="F200" i="13"/>
  <c r="F201" i="13"/>
  <c r="F202" i="13"/>
  <c r="F203" i="13"/>
  <c r="F204" i="13"/>
  <c r="F205" i="13"/>
  <c r="F206" i="13"/>
  <c r="F207" i="13"/>
  <c r="F189" i="13"/>
  <c r="F190" i="13"/>
  <c r="F191" i="13"/>
  <c r="F192" i="13"/>
  <c r="F193" i="13"/>
  <c r="F194" i="13"/>
  <c r="F195" i="13"/>
  <c r="F196" i="13"/>
  <c r="F197" i="13"/>
  <c r="F181" i="13"/>
  <c r="F182" i="13"/>
  <c r="F183" i="13"/>
  <c r="F184" i="13"/>
  <c r="F185" i="13"/>
  <c r="F186" i="13"/>
  <c r="F187" i="13"/>
  <c r="F170" i="13"/>
  <c r="F171" i="13"/>
  <c r="F172" i="13"/>
  <c r="F173" i="13"/>
  <c r="F174" i="13"/>
  <c r="F175" i="13"/>
  <c r="F176" i="13"/>
  <c r="F177" i="13"/>
  <c r="F178" i="13"/>
  <c r="F179" i="13"/>
  <c r="F164" i="13"/>
  <c r="F165" i="13"/>
  <c r="F166" i="13"/>
  <c r="F167" i="13"/>
  <c r="F168" i="13"/>
  <c r="F154" i="13"/>
  <c r="F155" i="13"/>
  <c r="F156" i="13"/>
  <c r="F157" i="13"/>
  <c r="F158" i="13"/>
  <c r="F159" i="13"/>
  <c r="F160" i="13"/>
  <c r="F161" i="13"/>
  <c r="F162" i="13"/>
  <c r="F144" i="13"/>
  <c r="F145" i="13"/>
  <c r="F146" i="13"/>
  <c r="F147" i="13"/>
  <c r="F148" i="13"/>
  <c r="F149" i="13"/>
  <c r="F150" i="13"/>
  <c r="F151" i="13"/>
  <c r="F152" i="13"/>
  <c r="F136" i="13"/>
  <c r="F137" i="13"/>
  <c r="F138" i="13"/>
  <c r="F139" i="13"/>
  <c r="F140" i="13"/>
  <c r="F141" i="13"/>
  <c r="F142" i="13"/>
  <c r="F130" i="13"/>
  <c r="F131" i="13"/>
  <c r="F132" i="13"/>
  <c r="F133" i="13"/>
  <c r="F134" i="13"/>
  <c r="F124" i="13"/>
  <c r="F125" i="13"/>
  <c r="F126" i="13"/>
  <c r="F127" i="13"/>
  <c r="F128" i="13"/>
  <c r="F115" i="13"/>
  <c r="F116" i="13"/>
  <c r="F117" i="13"/>
  <c r="F118" i="13"/>
  <c r="F119" i="13"/>
  <c r="F120" i="13"/>
  <c r="F121" i="13"/>
  <c r="F122" i="13"/>
  <c r="F108" i="13"/>
  <c r="F109" i="13"/>
  <c r="F110" i="13"/>
  <c r="F111" i="13"/>
  <c r="F112" i="13"/>
  <c r="F113" i="13"/>
  <c r="F102" i="13"/>
  <c r="F103" i="13"/>
  <c r="F104" i="13"/>
  <c r="F105" i="13"/>
  <c r="F106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80" i="13"/>
  <c r="F81" i="13"/>
  <c r="F82" i="13"/>
  <c r="F83" i="13"/>
  <c r="F84" i="13"/>
  <c r="F85" i="13"/>
  <c r="F86" i="13"/>
  <c r="F68" i="13"/>
  <c r="F69" i="13"/>
  <c r="F70" i="13"/>
  <c r="F71" i="13"/>
  <c r="F72" i="13"/>
  <c r="F73" i="13"/>
  <c r="F74" i="13"/>
  <c r="F75" i="13"/>
  <c r="F76" i="13"/>
  <c r="F77" i="13"/>
  <c r="F78" i="13"/>
  <c r="F62" i="13"/>
  <c r="F63" i="13"/>
  <c r="F64" i="13"/>
  <c r="F65" i="13"/>
  <c r="F66" i="13"/>
  <c r="F53" i="13"/>
  <c r="F54" i="13"/>
  <c r="F55" i="13"/>
  <c r="F56" i="13"/>
  <c r="F57" i="13"/>
  <c r="F47" i="13"/>
  <c r="F48" i="13"/>
  <c r="F49" i="13"/>
  <c r="F50" i="13"/>
  <c r="F51" i="13"/>
  <c r="F40" i="13"/>
  <c r="F41" i="13"/>
  <c r="F42" i="13"/>
  <c r="F43" i="13"/>
  <c r="F44" i="13"/>
  <c r="F45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15" i="13"/>
  <c r="F16" i="13"/>
  <c r="F17" i="13"/>
  <c r="F18" i="13"/>
  <c r="F19" i="13"/>
  <c r="F20" i="13"/>
  <c r="F21" i="13"/>
  <c r="F22" i="13"/>
  <c r="F23" i="13"/>
  <c r="F24" i="13"/>
  <c r="F25" i="13"/>
  <c r="F5" i="13"/>
  <c r="F6" i="13"/>
  <c r="F7" i="13"/>
  <c r="F8" i="13"/>
  <c r="F9" i="13"/>
  <c r="F10" i="13"/>
  <c r="F11" i="13"/>
  <c r="F12" i="13"/>
  <c r="F13" i="13"/>
  <c r="F209" i="13"/>
  <c r="F210" i="13"/>
  <c r="F211" i="13"/>
  <c r="F212" i="13"/>
  <c r="F213" i="13"/>
  <c r="F214" i="13"/>
  <c r="F215" i="13"/>
  <c r="F216" i="13"/>
  <c r="F217" i="13"/>
  <c r="E207" i="13"/>
  <c r="E197" i="13"/>
  <c r="E187" i="13"/>
  <c r="E179" i="13"/>
  <c r="E168" i="13"/>
  <c r="E162" i="13"/>
  <c r="E152" i="13"/>
  <c r="E142" i="13"/>
  <c r="E134" i="13"/>
  <c r="E128" i="13"/>
  <c r="E122" i="13"/>
  <c r="E113" i="13"/>
  <c r="E106" i="13"/>
  <c r="E100" i="13"/>
  <c r="E86" i="13"/>
  <c r="E78" i="13"/>
  <c r="E66" i="13"/>
  <c r="E57" i="13"/>
  <c r="E51" i="13"/>
  <c r="E45" i="13"/>
  <c r="E38" i="13"/>
  <c r="E25" i="13"/>
  <c r="E13" i="13"/>
  <c r="E216" i="13"/>
  <c r="E217" i="13"/>
  <c r="D207" i="13"/>
  <c r="D197" i="13"/>
  <c r="D187" i="13"/>
  <c r="D179" i="13"/>
  <c r="D168" i="13"/>
  <c r="D162" i="13"/>
  <c r="D152" i="13"/>
  <c r="D142" i="13"/>
  <c r="D134" i="13"/>
  <c r="D216" i="13"/>
  <c r="D128" i="13"/>
  <c r="D122" i="13"/>
  <c r="D113" i="13"/>
  <c r="D106" i="13"/>
  <c r="D100" i="13"/>
  <c r="D86" i="13"/>
  <c r="D78" i="13"/>
  <c r="D66" i="13"/>
  <c r="D57" i="13"/>
  <c r="D45" i="13"/>
  <c r="D51" i="13"/>
  <c r="D38" i="13"/>
  <c r="D25" i="13"/>
  <c r="D13" i="13"/>
  <c r="D217" i="13"/>
  <c r="T61" i="13"/>
  <c r="R61" i="13"/>
  <c r="P61" i="13"/>
  <c r="N61" i="13"/>
  <c r="L61" i="13"/>
  <c r="J61" i="13"/>
  <c r="H61" i="13"/>
  <c r="F61" i="13"/>
  <c r="T60" i="13"/>
  <c r="R60" i="13"/>
  <c r="P60" i="13"/>
  <c r="N60" i="13"/>
  <c r="L60" i="13"/>
  <c r="J60" i="13"/>
  <c r="H60" i="13"/>
  <c r="F60" i="13"/>
  <c r="T59" i="13"/>
  <c r="R59" i="13"/>
  <c r="P59" i="13"/>
  <c r="N59" i="13"/>
  <c r="L59" i="13"/>
  <c r="J59" i="13"/>
  <c r="H59" i="13"/>
  <c r="F59" i="13"/>
  <c r="N174" i="12"/>
  <c r="X174" i="12"/>
  <c r="AG174" i="12"/>
  <c r="N175" i="12"/>
  <c r="X175" i="12"/>
  <c r="AG175" i="12"/>
  <c r="N176" i="12"/>
  <c r="X176" i="12"/>
  <c r="AG176" i="12"/>
  <c r="AG177" i="12"/>
  <c r="N168" i="12"/>
  <c r="X168" i="12"/>
  <c r="AG168" i="12"/>
  <c r="N169" i="12"/>
  <c r="X169" i="12"/>
  <c r="AG169" i="12"/>
  <c r="N170" i="12"/>
  <c r="X170" i="12"/>
  <c r="AG170" i="12"/>
  <c r="G171" i="12"/>
  <c r="N171" i="12"/>
  <c r="X171" i="12"/>
  <c r="AG171" i="12"/>
  <c r="N172" i="12"/>
  <c r="X172" i="12"/>
  <c r="AG172" i="12"/>
  <c r="AG173" i="12"/>
  <c r="N162" i="12"/>
  <c r="X162" i="12"/>
  <c r="AG162" i="12"/>
  <c r="N163" i="12"/>
  <c r="X163" i="12"/>
  <c r="AG163" i="12"/>
  <c r="N164" i="12"/>
  <c r="X164" i="12"/>
  <c r="AG164" i="12"/>
  <c r="N165" i="12"/>
  <c r="X165" i="12"/>
  <c r="AG165" i="12"/>
  <c r="N166" i="12"/>
  <c r="X166" i="12"/>
  <c r="AG166" i="12"/>
  <c r="AG167" i="12"/>
  <c r="N156" i="12"/>
  <c r="X156" i="12"/>
  <c r="AG156" i="12"/>
  <c r="N157" i="12"/>
  <c r="X157" i="12"/>
  <c r="AG157" i="12"/>
  <c r="N158" i="12"/>
  <c r="X158" i="12"/>
  <c r="AG158" i="12"/>
  <c r="N159" i="12"/>
  <c r="X159" i="12"/>
  <c r="AG159" i="12"/>
  <c r="N160" i="12"/>
  <c r="X160" i="12"/>
  <c r="AG160" i="12"/>
  <c r="AG161" i="12"/>
  <c r="N150" i="12"/>
  <c r="X150" i="12"/>
  <c r="AG150" i="12"/>
  <c r="N151" i="12"/>
  <c r="X151" i="12"/>
  <c r="AG151" i="12"/>
  <c r="N152" i="12"/>
  <c r="X152" i="12"/>
  <c r="AG152" i="12"/>
  <c r="N153" i="12"/>
  <c r="X153" i="12"/>
  <c r="AG153" i="12"/>
  <c r="N154" i="12"/>
  <c r="X154" i="12"/>
  <c r="AG154" i="12"/>
  <c r="AG155" i="12"/>
  <c r="G143" i="12"/>
  <c r="N143" i="12"/>
  <c r="Q143" i="12"/>
  <c r="X143" i="12"/>
  <c r="AG143" i="12"/>
  <c r="G144" i="12"/>
  <c r="N144" i="12"/>
  <c r="Q144" i="12"/>
  <c r="X144" i="12"/>
  <c r="AG144" i="12"/>
  <c r="G145" i="12"/>
  <c r="N145" i="12"/>
  <c r="Q145" i="12"/>
  <c r="X145" i="12"/>
  <c r="AG145" i="12"/>
  <c r="G146" i="12"/>
  <c r="N146" i="12"/>
  <c r="Q146" i="12"/>
  <c r="X146" i="12"/>
  <c r="AG146" i="12"/>
  <c r="G147" i="12"/>
  <c r="N147" i="12"/>
  <c r="X147" i="12"/>
  <c r="AG147" i="12"/>
  <c r="G148" i="12"/>
  <c r="N148" i="12"/>
  <c r="X148" i="12"/>
  <c r="AG148" i="12"/>
  <c r="AG149" i="12"/>
  <c r="N138" i="12"/>
  <c r="X138" i="12"/>
  <c r="AG138" i="12"/>
  <c r="N139" i="12"/>
  <c r="X139" i="12"/>
  <c r="AG139" i="12"/>
  <c r="N140" i="12"/>
  <c r="X140" i="12"/>
  <c r="AG140" i="12"/>
  <c r="N141" i="12"/>
  <c r="X141" i="12"/>
  <c r="AG141" i="12"/>
  <c r="AG142" i="12"/>
  <c r="G133" i="12"/>
  <c r="N133" i="12"/>
  <c r="X133" i="12"/>
  <c r="AG133" i="12"/>
  <c r="N134" i="12"/>
  <c r="X134" i="12"/>
  <c r="AG134" i="12"/>
  <c r="N135" i="12"/>
  <c r="X135" i="12"/>
  <c r="AG135" i="12"/>
  <c r="N136" i="12"/>
  <c r="X136" i="12"/>
  <c r="AG136" i="12"/>
  <c r="AG137" i="12"/>
  <c r="N127" i="12"/>
  <c r="X127" i="12"/>
  <c r="AG127" i="12"/>
  <c r="N128" i="12"/>
  <c r="X128" i="12"/>
  <c r="AG128" i="12"/>
  <c r="N129" i="12"/>
  <c r="X129" i="12"/>
  <c r="AG129" i="12"/>
  <c r="N130" i="12"/>
  <c r="X130" i="12"/>
  <c r="AG130" i="12"/>
  <c r="N131" i="12"/>
  <c r="X131" i="12"/>
  <c r="AG131" i="12"/>
  <c r="AG132" i="12"/>
  <c r="N121" i="12"/>
  <c r="X121" i="12"/>
  <c r="AG121" i="12"/>
  <c r="N122" i="12"/>
  <c r="X122" i="12"/>
  <c r="AG122" i="12"/>
  <c r="N123" i="12"/>
  <c r="X123" i="12"/>
  <c r="AG123" i="12"/>
  <c r="N124" i="12"/>
  <c r="X124" i="12"/>
  <c r="AG124" i="12"/>
  <c r="N125" i="12"/>
  <c r="X125" i="12"/>
  <c r="AG125" i="12"/>
  <c r="AG126" i="12"/>
  <c r="N113" i="12"/>
  <c r="X113" i="12"/>
  <c r="AG113" i="12"/>
  <c r="N114" i="12"/>
  <c r="X114" i="12"/>
  <c r="AG114" i="12"/>
  <c r="N115" i="12"/>
  <c r="X115" i="12"/>
  <c r="AG115" i="12"/>
  <c r="N116" i="12"/>
  <c r="X116" i="12"/>
  <c r="AG116" i="12"/>
  <c r="N117" i="12"/>
  <c r="X117" i="12"/>
  <c r="AG117" i="12"/>
  <c r="N118" i="12"/>
  <c r="X118" i="12"/>
  <c r="AG118" i="12"/>
  <c r="N119" i="12"/>
  <c r="X119" i="12"/>
  <c r="AG119" i="12"/>
  <c r="AG120" i="12"/>
  <c r="N106" i="12"/>
  <c r="X106" i="12"/>
  <c r="AG106" i="12"/>
  <c r="N107" i="12"/>
  <c r="X107" i="12"/>
  <c r="AG107" i="12"/>
  <c r="N108" i="12"/>
  <c r="X108" i="12"/>
  <c r="AG108" i="12"/>
  <c r="N109" i="12"/>
  <c r="X109" i="12"/>
  <c r="AG109" i="12"/>
  <c r="N110" i="12"/>
  <c r="X110" i="12"/>
  <c r="AG110" i="12"/>
  <c r="N111" i="12"/>
  <c r="X111" i="12"/>
  <c r="AG111" i="12"/>
  <c r="AG112" i="12"/>
  <c r="N96" i="12"/>
  <c r="X96" i="12"/>
  <c r="AG96" i="12"/>
  <c r="N97" i="12"/>
  <c r="X97" i="12"/>
  <c r="AG97" i="12"/>
  <c r="N98" i="12"/>
  <c r="X98" i="12"/>
  <c r="AG98" i="12"/>
  <c r="N99" i="12"/>
  <c r="X99" i="12"/>
  <c r="AG99" i="12"/>
  <c r="N100" i="12"/>
  <c r="X100" i="12"/>
  <c r="AG100" i="12"/>
  <c r="N101" i="12"/>
  <c r="X101" i="12"/>
  <c r="AG101" i="12"/>
  <c r="N102" i="12"/>
  <c r="X102" i="12"/>
  <c r="AG102" i="12"/>
  <c r="N103" i="12"/>
  <c r="X103" i="12"/>
  <c r="AG103" i="12"/>
  <c r="N104" i="12"/>
  <c r="X104" i="12"/>
  <c r="AG104" i="12"/>
  <c r="AG105" i="12"/>
  <c r="N90" i="12"/>
  <c r="X90" i="12"/>
  <c r="AG90" i="12"/>
  <c r="N91" i="12"/>
  <c r="X91" i="12"/>
  <c r="AG91" i="12"/>
  <c r="N92" i="12"/>
  <c r="X92" i="12"/>
  <c r="AG92" i="12"/>
  <c r="N93" i="12"/>
  <c r="X93" i="12"/>
  <c r="AG93" i="12"/>
  <c r="N94" i="12"/>
  <c r="X94" i="12"/>
  <c r="AG94" i="12"/>
  <c r="AG95" i="12"/>
  <c r="N86" i="12"/>
  <c r="N87" i="12"/>
  <c r="N88" i="12"/>
  <c r="N89" i="12"/>
  <c r="X86" i="12"/>
  <c r="X87" i="12"/>
  <c r="X88" i="12"/>
  <c r="X89" i="12"/>
  <c r="AG89" i="12"/>
  <c r="N82" i="12"/>
  <c r="X82" i="12"/>
  <c r="AG82" i="12"/>
  <c r="N83" i="12"/>
  <c r="X83" i="12"/>
  <c r="AG83" i="12"/>
  <c r="N84" i="12"/>
  <c r="X84" i="12"/>
  <c r="AG84" i="12"/>
  <c r="AG85" i="12"/>
  <c r="N75" i="12"/>
  <c r="X75" i="12"/>
  <c r="AG75" i="12"/>
  <c r="N76" i="12"/>
  <c r="X76" i="12"/>
  <c r="AG76" i="12"/>
  <c r="N77" i="12"/>
  <c r="X77" i="12"/>
  <c r="AG77" i="12"/>
  <c r="N78" i="12"/>
  <c r="X78" i="12"/>
  <c r="AG78" i="12"/>
  <c r="N79" i="12"/>
  <c r="X79" i="12"/>
  <c r="AG79" i="12"/>
  <c r="N80" i="12"/>
  <c r="X80" i="12"/>
  <c r="AG80" i="12"/>
  <c r="AG81" i="12"/>
  <c r="N68" i="12"/>
  <c r="X68" i="12"/>
  <c r="AG68" i="12"/>
  <c r="N69" i="12"/>
  <c r="X69" i="12"/>
  <c r="AG69" i="12"/>
  <c r="N70" i="12"/>
  <c r="X70" i="12"/>
  <c r="AG70" i="12"/>
  <c r="G71" i="12"/>
  <c r="N71" i="12"/>
  <c r="X71" i="12"/>
  <c r="AG71" i="12"/>
  <c r="G72" i="12"/>
  <c r="N72" i="12"/>
  <c r="X72" i="12"/>
  <c r="AG72" i="12"/>
  <c r="N73" i="12"/>
  <c r="X73" i="12"/>
  <c r="AG73" i="12"/>
  <c r="AG74" i="12"/>
  <c r="N62" i="12"/>
  <c r="X62" i="12"/>
  <c r="AG62" i="12"/>
  <c r="N63" i="12"/>
  <c r="X63" i="12"/>
  <c r="AG63" i="12"/>
  <c r="G64" i="12"/>
  <c r="N64" i="12"/>
  <c r="X64" i="12"/>
  <c r="AG64" i="12"/>
  <c r="N65" i="12"/>
  <c r="X65" i="12"/>
  <c r="AG65" i="12"/>
  <c r="N66" i="12"/>
  <c r="X66" i="12"/>
  <c r="AG66" i="12"/>
  <c r="AG67" i="12"/>
  <c r="N56" i="12"/>
  <c r="X56" i="12"/>
  <c r="AG56" i="12"/>
  <c r="N57" i="12"/>
  <c r="X57" i="12"/>
  <c r="AG57" i="12"/>
  <c r="N58" i="12"/>
  <c r="X58" i="12"/>
  <c r="AG58" i="12"/>
  <c r="N59" i="12"/>
  <c r="X59" i="12"/>
  <c r="AG59" i="12"/>
  <c r="N60" i="12"/>
  <c r="X60" i="12"/>
  <c r="AG60" i="12"/>
  <c r="AG61" i="12"/>
  <c r="N50" i="12"/>
  <c r="X50" i="12"/>
  <c r="AG50" i="12"/>
  <c r="N51" i="12"/>
  <c r="X51" i="12"/>
  <c r="AG51" i="12"/>
  <c r="G52" i="12"/>
  <c r="N52" i="12"/>
  <c r="X52" i="12"/>
  <c r="AG52" i="12"/>
  <c r="N53" i="12"/>
  <c r="X53" i="12"/>
  <c r="AG53" i="12"/>
  <c r="N54" i="12"/>
  <c r="X54" i="12"/>
  <c r="AG54" i="12"/>
  <c r="AG55" i="12"/>
  <c r="N44" i="12"/>
  <c r="X44" i="12"/>
  <c r="AG44" i="12"/>
  <c r="N45" i="12"/>
  <c r="X45" i="12"/>
  <c r="AG45" i="12"/>
  <c r="N46" i="12"/>
  <c r="X46" i="12"/>
  <c r="AG46" i="12"/>
  <c r="N47" i="12"/>
  <c r="X47" i="12"/>
  <c r="AG47" i="12"/>
  <c r="N48" i="12"/>
  <c r="X48" i="12"/>
  <c r="AG48" i="12"/>
  <c r="AG49" i="12"/>
  <c r="N37" i="12"/>
  <c r="X37" i="12"/>
  <c r="AG37" i="12"/>
  <c r="N38" i="12"/>
  <c r="X38" i="12"/>
  <c r="AG38" i="12"/>
  <c r="N39" i="12"/>
  <c r="X39" i="12"/>
  <c r="AG39" i="12"/>
  <c r="J40" i="12"/>
  <c r="N40" i="12"/>
  <c r="X40" i="12"/>
  <c r="AG40" i="12"/>
  <c r="N41" i="12"/>
  <c r="X41" i="12"/>
  <c r="AG41" i="12"/>
  <c r="N42" i="12"/>
  <c r="X42" i="12"/>
  <c r="AG42" i="12"/>
  <c r="AG43" i="12"/>
  <c r="N32" i="12"/>
  <c r="X32" i="12"/>
  <c r="AG32" i="12"/>
  <c r="N33" i="12"/>
  <c r="AG33" i="12"/>
  <c r="N34" i="12"/>
  <c r="X34" i="12"/>
  <c r="AG34" i="12"/>
  <c r="N35" i="12"/>
  <c r="X35" i="12"/>
  <c r="AG35" i="12"/>
  <c r="AG36" i="12"/>
  <c r="G24" i="12"/>
  <c r="N24" i="12"/>
  <c r="X24" i="12"/>
  <c r="AG24" i="12"/>
  <c r="N25" i="12"/>
  <c r="X25" i="12"/>
  <c r="AG25" i="12"/>
  <c r="N26" i="12"/>
  <c r="X26" i="12"/>
  <c r="AG26" i="12"/>
  <c r="N27" i="12"/>
  <c r="X27" i="12"/>
  <c r="AG27" i="12"/>
  <c r="N28" i="12"/>
  <c r="X28" i="12"/>
  <c r="AG28" i="12"/>
  <c r="G29" i="12"/>
  <c r="N29" i="12"/>
  <c r="X29" i="12"/>
  <c r="AG29" i="12"/>
  <c r="G30" i="12"/>
  <c r="N30" i="12"/>
  <c r="X30" i="12"/>
  <c r="AG30" i="12"/>
  <c r="AG31" i="12"/>
  <c r="N18" i="12"/>
  <c r="X18" i="12"/>
  <c r="AG18" i="12"/>
  <c r="N19" i="12"/>
  <c r="X19" i="12"/>
  <c r="AG19" i="12"/>
  <c r="N20" i="12"/>
  <c r="X20" i="12"/>
  <c r="AG20" i="12"/>
  <c r="N21" i="12"/>
  <c r="X21" i="12"/>
  <c r="AG21" i="12"/>
  <c r="N22" i="12"/>
  <c r="X22" i="12"/>
  <c r="AG22" i="12"/>
  <c r="AG23" i="12"/>
  <c r="N17" i="12"/>
  <c r="X17" i="12"/>
  <c r="AG17" i="12"/>
  <c r="N11" i="12"/>
  <c r="X11" i="12"/>
  <c r="AG11" i="12"/>
  <c r="N12" i="12"/>
  <c r="X12" i="12"/>
  <c r="AG12" i="12"/>
  <c r="N13" i="12"/>
  <c r="X13" i="12"/>
  <c r="AG13" i="12"/>
  <c r="N14" i="12"/>
  <c r="X14" i="12"/>
  <c r="AG14" i="12"/>
  <c r="AG15" i="12"/>
  <c r="AG178" i="12"/>
  <c r="E177" i="12"/>
  <c r="E173" i="12"/>
  <c r="E167" i="12"/>
  <c r="E161" i="12"/>
  <c r="E155" i="12"/>
  <c r="E149" i="12"/>
  <c r="E142" i="12"/>
  <c r="E137" i="12"/>
  <c r="E132" i="12"/>
  <c r="E126" i="12"/>
  <c r="E120" i="12"/>
  <c r="E112" i="12"/>
  <c r="E105" i="12"/>
  <c r="E95" i="12"/>
  <c r="E89" i="12"/>
  <c r="E85" i="12"/>
  <c r="E81" i="12"/>
  <c r="E74" i="12"/>
  <c r="E67" i="12"/>
  <c r="E61" i="12"/>
  <c r="E55" i="12"/>
  <c r="E49" i="12"/>
  <c r="E43" i="12"/>
  <c r="E36" i="12"/>
  <c r="E31" i="12"/>
  <c r="E23" i="12"/>
  <c r="E15" i="12"/>
  <c r="E178" i="12"/>
  <c r="AH178" i="12"/>
  <c r="AF174" i="12"/>
  <c r="AF175" i="12"/>
  <c r="AF176" i="12"/>
  <c r="AF177" i="12"/>
  <c r="AF168" i="12"/>
  <c r="AF169" i="12"/>
  <c r="AF170" i="12"/>
  <c r="AF171" i="12"/>
  <c r="AF172" i="12"/>
  <c r="AF173" i="12"/>
  <c r="AF162" i="12"/>
  <c r="AF163" i="12"/>
  <c r="AF164" i="12"/>
  <c r="AF165" i="12"/>
  <c r="AF166" i="12"/>
  <c r="AF167" i="12"/>
  <c r="AF156" i="12"/>
  <c r="AF157" i="12"/>
  <c r="AF158" i="12"/>
  <c r="AF159" i="12"/>
  <c r="AF160" i="12"/>
  <c r="AF161" i="12"/>
  <c r="AF150" i="12"/>
  <c r="AF151" i="12"/>
  <c r="AF152" i="12"/>
  <c r="AF153" i="12"/>
  <c r="AF154" i="12"/>
  <c r="AF155" i="12"/>
  <c r="AF143" i="12"/>
  <c r="AF144" i="12"/>
  <c r="AF145" i="12"/>
  <c r="AF146" i="12"/>
  <c r="AF147" i="12"/>
  <c r="AF148" i="12"/>
  <c r="AF149" i="12"/>
  <c r="AF138" i="12"/>
  <c r="AF139" i="12"/>
  <c r="AF140" i="12"/>
  <c r="AF141" i="12"/>
  <c r="AF142" i="12"/>
  <c r="AF133" i="12"/>
  <c r="AF134" i="12"/>
  <c r="AF135" i="12"/>
  <c r="AF136" i="12"/>
  <c r="AF137" i="12"/>
  <c r="AF127" i="12"/>
  <c r="AF128" i="12"/>
  <c r="AF129" i="12"/>
  <c r="AF130" i="12"/>
  <c r="AF131" i="12"/>
  <c r="AF132" i="12"/>
  <c r="AF121" i="12"/>
  <c r="AF122" i="12"/>
  <c r="AF123" i="12"/>
  <c r="AF124" i="12"/>
  <c r="AF125" i="12"/>
  <c r="AF126" i="12"/>
  <c r="AF113" i="12"/>
  <c r="AF114" i="12"/>
  <c r="AF115" i="12"/>
  <c r="AF116" i="12"/>
  <c r="AF117" i="12"/>
  <c r="AF118" i="12"/>
  <c r="AF119" i="12"/>
  <c r="AF120" i="12"/>
  <c r="AF106" i="12"/>
  <c r="AF107" i="12"/>
  <c r="AF108" i="12"/>
  <c r="AF109" i="12"/>
  <c r="AF110" i="12"/>
  <c r="AF111" i="12"/>
  <c r="AF112" i="12"/>
  <c r="AF96" i="12"/>
  <c r="AF97" i="12"/>
  <c r="AF98" i="12"/>
  <c r="AF99" i="12"/>
  <c r="AF100" i="12"/>
  <c r="AF101" i="12"/>
  <c r="AF102" i="12"/>
  <c r="AF103" i="12"/>
  <c r="AF104" i="12"/>
  <c r="AF105" i="12"/>
  <c r="AF90" i="12"/>
  <c r="AF91" i="12"/>
  <c r="AF92" i="12"/>
  <c r="AF93" i="12"/>
  <c r="AF94" i="12"/>
  <c r="AF95" i="12"/>
  <c r="M89" i="12"/>
  <c r="W89" i="12"/>
  <c r="AF89" i="12"/>
  <c r="AF82" i="12"/>
  <c r="AF83" i="12"/>
  <c r="AF84" i="12"/>
  <c r="AF85" i="12"/>
  <c r="AF75" i="12"/>
  <c r="AF76" i="12"/>
  <c r="AF77" i="12"/>
  <c r="AF78" i="12"/>
  <c r="AF79" i="12"/>
  <c r="AF80" i="12"/>
  <c r="AF81" i="12"/>
  <c r="AF68" i="12"/>
  <c r="AF69" i="12"/>
  <c r="AF70" i="12"/>
  <c r="AF71" i="12"/>
  <c r="AF72" i="12"/>
  <c r="AF73" i="12"/>
  <c r="AF74" i="12"/>
  <c r="AF62" i="12"/>
  <c r="AF63" i="12"/>
  <c r="AF64" i="12"/>
  <c r="AF65" i="12"/>
  <c r="AF66" i="12"/>
  <c r="AF67" i="12"/>
  <c r="AF56" i="12"/>
  <c r="AF57" i="12"/>
  <c r="AF58" i="12"/>
  <c r="AF59" i="12"/>
  <c r="AF60" i="12"/>
  <c r="AF61" i="12"/>
  <c r="AF50" i="12"/>
  <c r="AF51" i="12"/>
  <c r="AF52" i="12"/>
  <c r="AF53" i="12"/>
  <c r="AF54" i="12"/>
  <c r="AF55" i="12"/>
  <c r="AF44" i="12"/>
  <c r="AF45" i="12"/>
  <c r="AF46" i="12"/>
  <c r="AF47" i="12"/>
  <c r="AF48" i="12"/>
  <c r="AF49" i="12"/>
  <c r="AF37" i="12"/>
  <c r="AF38" i="12"/>
  <c r="AF39" i="12"/>
  <c r="AF40" i="12"/>
  <c r="AF41" i="12"/>
  <c r="AF42" i="12"/>
  <c r="AF43" i="12"/>
  <c r="AF32" i="12"/>
  <c r="AF33" i="12"/>
  <c r="AF34" i="12"/>
  <c r="AF35" i="12"/>
  <c r="AF36" i="12"/>
  <c r="AF24" i="12"/>
  <c r="AF25" i="12"/>
  <c r="AF26" i="12"/>
  <c r="AF27" i="12"/>
  <c r="AF28" i="12"/>
  <c r="AF29" i="12"/>
  <c r="AF30" i="12"/>
  <c r="AF31" i="12"/>
  <c r="AF18" i="12"/>
  <c r="AF19" i="12"/>
  <c r="AF20" i="12"/>
  <c r="AF21" i="12"/>
  <c r="AF22" i="12"/>
  <c r="AF23" i="12"/>
  <c r="AF17" i="12"/>
  <c r="AF11" i="12"/>
  <c r="AF12" i="12"/>
  <c r="AF13" i="12"/>
  <c r="AF14" i="12"/>
  <c r="AF15" i="12"/>
  <c r="AF178" i="12"/>
  <c r="AE174" i="12"/>
  <c r="AE175" i="12"/>
  <c r="AE176" i="12"/>
  <c r="AE177" i="12"/>
  <c r="AE168" i="12"/>
  <c r="AE169" i="12"/>
  <c r="AE170" i="12"/>
  <c r="AE171" i="12"/>
  <c r="AE172" i="12"/>
  <c r="AE173" i="12"/>
  <c r="AE162" i="12"/>
  <c r="AE163" i="12"/>
  <c r="AE164" i="12"/>
  <c r="AE165" i="12"/>
  <c r="AE166" i="12"/>
  <c r="AE167" i="12"/>
  <c r="AE156" i="12"/>
  <c r="AE157" i="12"/>
  <c r="AE158" i="12"/>
  <c r="AE159" i="12"/>
  <c r="AE160" i="12"/>
  <c r="AE161" i="12"/>
  <c r="AE150" i="12"/>
  <c r="AE151" i="12"/>
  <c r="AE152" i="12"/>
  <c r="AE153" i="12"/>
  <c r="AE154" i="12"/>
  <c r="AE155" i="12"/>
  <c r="AE143" i="12"/>
  <c r="AE144" i="12"/>
  <c r="AE145" i="12"/>
  <c r="AE146" i="12"/>
  <c r="AE147" i="12"/>
  <c r="AE148" i="12"/>
  <c r="AE149" i="12"/>
  <c r="AE138" i="12"/>
  <c r="AE139" i="12"/>
  <c r="AE140" i="12"/>
  <c r="AE141" i="12"/>
  <c r="AE142" i="12"/>
  <c r="AE133" i="12"/>
  <c r="AE134" i="12"/>
  <c r="AE135" i="12"/>
  <c r="AE136" i="12"/>
  <c r="AE137" i="12"/>
  <c r="AE127" i="12"/>
  <c r="AE128" i="12"/>
  <c r="AE129" i="12"/>
  <c r="AE130" i="12"/>
  <c r="AE131" i="12"/>
  <c r="AE132" i="12"/>
  <c r="AE121" i="12"/>
  <c r="AE122" i="12"/>
  <c r="AE123" i="12"/>
  <c r="AE124" i="12"/>
  <c r="AE125" i="12"/>
  <c r="AE126" i="12"/>
  <c r="AE113" i="12"/>
  <c r="AE114" i="12"/>
  <c r="AE115" i="12"/>
  <c r="AE116" i="12"/>
  <c r="AE117" i="12"/>
  <c r="AE118" i="12"/>
  <c r="AE119" i="12"/>
  <c r="AE120" i="12"/>
  <c r="AE106" i="12"/>
  <c r="AE107" i="12"/>
  <c r="AE108" i="12"/>
  <c r="AE109" i="12"/>
  <c r="AE110" i="12"/>
  <c r="AE111" i="12"/>
  <c r="AE112" i="12"/>
  <c r="AE96" i="12"/>
  <c r="AE97" i="12"/>
  <c r="AE98" i="12"/>
  <c r="AE99" i="12"/>
  <c r="AE100" i="12"/>
  <c r="AE101" i="12"/>
  <c r="AE102" i="12"/>
  <c r="AE103" i="12"/>
  <c r="AE104" i="12"/>
  <c r="AE105" i="12"/>
  <c r="AE90" i="12"/>
  <c r="AE91" i="12"/>
  <c r="AE92" i="12"/>
  <c r="AE93" i="12"/>
  <c r="AE94" i="12"/>
  <c r="AE95" i="12"/>
  <c r="L89" i="12"/>
  <c r="V89" i="12"/>
  <c r="AE89" i="12"/>
  <c r="AE82" i="12"/>
  <c r="AE83" i="12"/>
  <c r="AE84" i="12"/>
  <c r="AE85" i="12"/>
  <c r="AE75" i="12"/>
  <c r="AE76" i="12"/>
  <c r="AE77" i="12"/>
  <c r="AE78" i="12"/>
  <c r="AE79" i="12"/>
  <c r="AE80" i="12"/>
  <c r="AE81" i="12"/>
  <c r="AE68" i="12"/>
  <c r="AE69" i="12"/>
  <c r="AE70" i="12"/>
  <c r="AE71" i="12"/>
  <c r="AE72" i="12"/>
  <c r="AE73" i="12"/>
  <c r="AE74" i="12"/>
  <c r="AE62" i="12"/>
  <c r="AE63" i="12"/>
  <c r="AE64" i="12"/>
  <c r="AE65" i="12"/>
  <c r="AE66" i="12"/>
  <c r="AE67" i="12"/>
  <c r="AE56" i="12"/>
  <c r="AE57" i="12"/>
  <c r="AE58" i="12"/>
  <c r="AE59" i="12"/>
  <c r="AE60" i="12"/>
  <c r="AE61" i="12"/>
  <c r="AE50" i="12"/>
  <c r="AE51" i="12"/>
  <c r="AE52" i="12"/>
  <c r="AE53" i="12"/>
  <c r="AE54" i="12"/>
  <c r="AE55" i="12"/>
  <c r="AE44" i="12"/>
  <c r="AE45" i="12"/>
  <c r="AE46" i="12"/>
  <c r="AE47" i="12"/>
  <c r="AE48" i="12"/>
  <c r="AE49" i="12"/>
  <c r="AE37" i="12"/>
  <c r="AE38" i="12"/>
  <c r="AE39" i="12"/>
  <c r="AE40" i="12"/>
  <c r="AE41" i="12"/>
  <c r="AE42" i="12"/>
  <c r="AE43" i="12"/>
  <c r="AE32" i="12"/>
  <c r="AE33" i="12"/>
  <c r="AE34" i="12"/>
  <c r="AE35" i="12"/>
  <c r="AE36" i="12"/>
  <c r="AE24" i="12"/>
  <c r="AE25" i="12"/>
  <c r="AE26" i="12"/>
  <c r="AE27" i="12"/>
  <c r="AE28" i="12"/>
  <c r="AE29" i="12"/>
  <c r="AE30" i="12"/>
  <c r="AE31" i="12"/>
  <c r="AE18" i="12"/>
  <c r="AE19" i="12"/>
  <c r="AE20" i="12"/>
  <c r="AE21" i="12"/>
  <c r="AE22" i="12"/>
  <c r="AE23" i="12"/>
  <c r="AE17" i="12"/>
  <c r="AE11" i="12"/>
  <c r="AE12" i="12"/>
  <c r="AE13" i="12"/>
  <c r="AE14" i="12"/>
  <c r="AE15" i="12"/>
  <c r="AE178" i="12"/>
  <c r="AD174" i="12"/>
  <c r="AD175" i="12"/>
  <c r="AD176" i="12"/>
  <c r="AD177" i="12"/>
  <c r="AD168" i="12"/>
  <c r="AD169" i="12"/>
  <c r="AD170" i="12"/>
  <c r="AD171" i="12"/>
  <c r="AD172" i="12"/>
  <c r="AD173" i="12"/>
  <c r="AD162" i="12"/>
  <c r="AD163" i="12"/>
  <c r="AD164" i="12"/>
  <c r="AD165" i="12"/>
  <c r="AD166" i="12"/>
  <c r="AD167" i="12"/>
  <c r="AD156" i="12"/>
  <c r="AD157" i="12"/>
  <c r="AD158" i="12"/>
  <c r="AD159" i="12"/>
  <c r="AD160" i="12"/>
  <c r="AD161" i="12"/>
  <c r="AD150" i="12"/>
  <c r="AD151" i="12"/>
  <c r="AD152" i="12"/>
  <c r="AD153" i="12"/>
  <c r="AD154" i="12"/>
  <c r="AD155" i="12"/>
  <c r="AD143" i="12"/>
  <c r="AD144" i="12"/>
  <c r="AD145" i="12"/>
  <c r="AD146" i="12"/>
  <c r="AD147" i="12"/>
  <c r="AD148" i="12"/>
  <c r="AD149" i="12"/>
  <c r="AD138" i="12"/>
  <c r="AD139" i="12"/>
  <c r="AD140" i="12"/>
  <c r="AD141" i="12"/>
  <c r="AD142" i="12"/>
  <c r="AD133" i="12"/>
  <c r="AD134" i="12"/>
  <c r="AD135" i="12"/>
  <c r="AD136" i="12"/>
  <c r="AD137" i="12"/>
  <c r="AD127" i="12"/>
  <c r="AD128" i="12"/>
  <c r="AD129" i="12"/>
  <c r="AD130" i="12"/>
  <c r="AD131" i="12"/>
  <c r="AD132" i="12"/>
  <c r="AD121" i="12"/>
  <c r="AD122" i="12"/>
  <c r="AD123" i="12"/>
  <c r="AD124" i="12"/>
  <c r="AD125" i="12"/>
  <c r="AD126" i="12"/>
  <c r="AD113" i="12"/>
  <c r="AD114" i="12"/>
  <c r="AD115" i="12"/>
  <c r="AD116" i="12"/>
  <c r="AD117" i="12"/>
  <c r="AD118" i="12"/>
  <c r="AD119" i="12"/>
  <c r="AD120" i="12"/>
  <c r="AD106" i="12"/>
  <c r="AD107" i="12"/>
  <c r="AD108" i="12"/>
  <c r="AD109" i="12"/>
  <c r="AD110" i="12"/>
  <c r="AD111" i="12"/>
  <c r="AD112" i="12"/>
  <c r="AD96" i="12"/>
  <c r="AD97" i="12"/>
  <c r="AD98" i="12"/>
  <c r="AD99" i="12"/>
  <c r="AD100" i="12"/>
  <c r="AD101" i="12"/>
  <c r="AD102" i="12"/>
  <c r="AD103" i="12"/>
  <c r="AD104" i="12"/>
  <c r="AD105" i="12"/>
  <c r="AD90" i="12"/>
  <c r="AD91" i="12"/>
  <c r="AD92" i="12"/>
  <c r="AD93" i="12"/>
  <c r="AD94" i="12"/>
  <c r="AD95" i="12"/>
  <c r="K89" i="12"/>
  <c r="U89" i="12"/>
  <c r="AD89" i="12"/>
  <c r="AD82" i="12"/>
  <c r="AD83" i="12"/>
  <c r="AD84" i="12"/>
  <c r="AD85" i="12"/>
  <c r="AD75" i="12"/>
  <c r="AD76" i="12"/>
  <c r="AD77" i="12"/>
  <c r="AD78" i="12"/>
  <c r="AD79" i="12"/>
  <c r="AD80" i="12"/>
  <c r="AD81" i="12"/>
  <c r="AD68" i="12"/>
  <c r="AD69" i="12"/>
  <c r="AD70" i="12"/>
  <c r="AD71" i="12"/>
  <c r="AD72" i="12"/>
  <c r="AD73" i="12"/>
  <c r="AD74" i="12"/>
  <c r="AD62" i="12"/>
  <c r="AD63" i="12"/>
  <c r="AD64" i="12"/>
  <c r="AD65" i="12"/>
  <c r="AD66" i="12"/>
  <c r="AD67" i="12"/>
  <c r="AD56" i="12"/>
  <c r="AD57" i="12"/>
  <c r="AD58" i="12"/>
  <c r="AD59" i="12"/>
  <c r="AD60" i="12"/>
  <c r="AD61" i="12"/>
  <c r="AD50" i="12"/>
  <c r="AD51" i="12"/>
  <c r="AD52" i="12"/>
  <c r="AD53" i="12"/>
  <c r="AD54" i="12"/>
  <c r="AD55" i="12"/>
  <c r="AD44" i="12"/>
  <c r="AD45" i="12"/>
  <c r="AD46" i="12"/>
  <c r="AD47" i="12"/>
  <c r="AD48" i="12"/>
  <c r="AD49" i="12"/>
  <c r="AD37" i="12"/>
  <c r="AD38" i="12"/>
  <c r="AD39" i="12"/>
  <c r="AD40" i="12"/>
  <c r="AD41" i="12"/>
  <c r="AD42" i="12"/>
  <c r="AD43" i="12"/>
  <c r="AD32" i="12"/>
  <c r="AD33" i="12"/>
  <c r="AD34" i="12"/>
  <c r="AD35" i="12"/>
  <c r="AD36" i="12"/>
  <c r="AD24" i="12"/>
  <c r="AD25" i="12"/>
  <c r="AD26" i="12"/>
  <c r="AD27" i="12"/>
  <c r="AD28" i="12"/>
  <c r="AD29" i="12"/>
  <c r="AD30" i="12"/>
  <c r="AD31" i="12"/>
  <c r="AD18" i="12"/>
  <c r="AD19" i="12"/>
  <c r="AD20" i="12"/>
  <c r="AD21" i="12"/>
  <c r="AD22" i="12"/>
  <c r="AD23" i="12"/>
  <c r="AD17" i="12"/>
  <c r="AD11" i="12"/>
  <c r="AD12" i="12"/>
  <c r="AD13" i="12"/>
  <c r="AD14" i="12"/>
  <c r="AD15" i="12"/>
  <c r="AD178" i="12"/>
  <c r="AC174" i="12"/>
  <c r="AC175" i="12"/>
  <c r="AC176" i="12"/>
  <c r="AC177" i="12"/>
  <c r="AC168" i="12"/>
  <c r="AC169" i="12"/>
  <c r="AC170" i="12"/>
  <c r="AC171" i="12"/>
  <c r="AC172" i="12"/>
  <c r="AC173" i="12"/>
  <c r="AC162" i="12"/>
  <c r="AC163" i="12"/>
  <c r="AC164" i="12"/>
  <c r="AC165" i="12"/>
  <c r="AC166" i="12"/>
  <c r="AC167" i="12"/>
  <c r="AC156" i="12"/>
  <c r="AC157" i="12"/>
  <c r="AC158" i="12"/>
  <c r="AC159" i="12"/>
  <c r="AC160" i="12"/>
  <c r="AC161" i="12"/>
  <c r="AC150" i="12"/>
  <c r="AC151" i="12"/>
  <c r="AC152" i="12"/>
  <c r="AC153" i="12"/>
  <c r="AC154" i="12"/>
  <c r="AC155" i="12"/>
  <c r="AC143" i="12"/>
  <c r="AC144" i="12"/>
  <c r="AC145" i="12"/>
  <c r="AC146" i="12"/>
  <c r="AC147" i="12"/>
  <c r="AC148" i="12"/>
  <c r="AC149" i="12"/>
  <c r="AC138" i="12"/>
  <c r="AC139" i="12"/>
  <c r="AC140" i="12"/>
  <c r="AC141" i="12"/>
  <c r="AC142" i="12"/>
  <c r="AC133" i="12"/>
  <c r="AC134" i="12"/>
  <c r="AC135" i="12"/>
  <c r="AC136" i="12"/>
  <c r="AC137" i="12"/>
  <c r="AC127" i="12"/>
  <c r="AC128" i="12"/>
  <c r="AC129" i="12"/>
  <c r="AC130" i="12"/>
  <c r="AC131" i="12"/>
  <c r="AC132" i="12"/>
  <c r="AC121" i="12"/>
  <c r="AC122" i="12"/>
  <c r="AC123" i="12"/>
  <c r="AC124" i="12"/>
  <c r="AC125" i="12"/>
  <c r="AC126" i="12"/>
  <c r="AC113" i="12"/>
  <c r="AC114" i="12"/>
  <c r="AC115" i="12"/>
  <c r="AC116" i="12"/>
  <c r="AC117" i="12"/>
  <c r="AC118" i="12"/>
  <c r="AC119" i="12"/>
  <c r="AC120" i="12"/>
  <c r="AC106" i="12"/>
  <c r="AC107" i="12"/>
  <c r="AC108" i="12"/>
  <c r="AC109" i="12"/>
  <c r="AC110" i="12"/>
  <c r="AC111" i="12"/>
  <c r="AC112" i="12"/>
  <c r="AC96" i="12"/>
  <c r="AC97" i="12"/>
  <c r="AC98" i="12"/>
  <c r="AC99" i="12"/>
  <c r="AC100" i="12"/>
  <c r="AC101" i="12"/>
  <c r="AC102" i="12"/>
  <c r="AC103" i="12"/>
  <c r="AC104" i="12"/>
  <c r="AC105" i="12"/>
  <c r="AC90" i="12"/>
  <c r="AC91" i="12"/>
  <c r="AC92" i="12"/>
  <c r="AC93" i="12"/>
  <c r="AC94" i="12"/>
  <c r="AC95" i="12"/>
  <c r="J89" i="12"/>
  <c r="T89" i="12"/>
  <c r="AC89" i="12"/>
  <c r="AC82" i="12"/>
  <c r="AC83" i="12"/>
  <c r="AC84" i="12"/>
  <c r="AC85" i="12"/>
  <c r="AC75" i="12"/>
  <c r="AC76" i="12"/>
  <c r="AC77" i="12"/>
  <c r="AC78" i="12"/>
  <c r="AC79" i="12"/>
  <c r="AC80" i="12"/>
  <c r="AC81" i="12"/>
  <c r="AC68" i="12"/>
  <c r="AC69" i="12"/>
  <c r="AC70" i="12"/>
  <c r="AC71" i="12"/>
  <c r="AC72" i="12"/>
  <c r="AC73" i="12"/>
  <c r="AC74" i="12"/>
  <c r="AC62" i="12"/>
  <c r="AC63" i="12"/>
  <c r="AC64" i="12"/>
  <c r="AC65" i="12"/>
  <c r="AC66" i="12"/>
  <c r="AC67" i="12"/>
  <c r="AC56" i="12"/>
  <c r="AC57" i="12"/>
  <c r="AC58" i="12"/>
  <c r="AC59" i="12"/>
  <c r="AC60" i="12"/>
  <c r="AC61" i="12"/>
  <c r="AC50" i="12"/>
  <c r="AC51" i="12"/>
  <c r="AC52" i="12"/>
  <c r="AC53" i="12"/>
  <c r="AC54" i="12"/>
  <c r="AC55" i="12"/>
  <c r="AC44" i="12"/>
  <c r="AC45" i="12"/>
  <c r="AC46" i="12"/>
  <c r="AC47" i="12"/>
  <c r="AC48" i="12"/>
  <c r="AC49" i="12"/>
  <c r="AC37" i="12"/>
  <c r="AC38" i="12"/>
  <c r="AC39" i="12"/>
  <c r="AC40" i="12"/>
  <c r="AC41" i="12"/>
  <c r="AC42" i="12"/>
  <c r="AC43" i="12"/>
  <c r="AC32" i="12"/>
  <c r="AC33" i="12"/>
  <c r="AC34" i="12"/>
  <c r="AC35" i="12"/>
  <c r="AC36" i="12"/>
  <c r="AC24" i="12"/>
  <c r="AC25" i="12"/>
  <c r="AC26" i="12"/>
  <c r="AC27" i="12"/>
  <c r="AC28" i="12"/>
  <c r="AC29" i="12"/>
  <c r="AC30" i="12"/>
  <c r="AC31" i="12"/>
  <c r="AC18" i="12"/>
  <c r="AC19" i="12"/>
  <c r="AC20" i="12"/>
  <c r="AC21" i="12"/>
  <c r="AC22" i="12"/>
  <c r="AC23" i="12"/>
  <c r="AC17" i="12"/>
  <c r="AC11" i="12"/>
  <c r="AC12" i="12"/>
  <c r="AC13" i="12"/>
  <c r="AC14" i="12"/>
  <c r="AC15" i="12"/>
  <c r="AC178" i="12"/>
  <c r="AB174" i="12"/>
  <c r="AB175" i="12"/>
  <c r="AB176" i="12"/>
  <c r="AB177" i="12"/>
  <c r="AB168" i="12"/>
  <c r="AB169" i="12"/>
  <c r="AB170" i="12"/>
  <c r="AB171" i="12"/>
  <c r="AB172" i="12"/>
  <c r="AB173" i="12"/>
  <c r="AB162" i="12"/>
  <c r="AB163" i="12"/>
  <c r="AB164" i="12"/>
  <c r="AB165" i="12"/>
  <c r="AB166" i="12"/>
  <c r="AB167" i="12"/>
  <c r="AB156" i="12"/>
  <c r="AB157" i="12"/>
  <c r="AB158" i="12"/>
  <c r="AB159" i="12"/>
  <c r="AB160" i="12"/>
  <c r="AB161" i="12"/>
  <c r="AB150" i="12"/>
  <c r="AB151" i="12"/>
  <c r="AB152" i="12"/>
  <c r="AB153" i="12"/>
  <c r="AB154" i="12"/>
  <c r="AB155" i="12"/>
  <c r="AB143" i="12"/>
  <c r="AB144" i="12"/>
  <c r="AB145" i="12"/>
  <c r="AB146" i="12"/>
  <c r="AB147" i="12"/>
  <c r="AB148" i="12"/>
  <c r="AB149" i="12"/>
  <c r="AB138" i="12"/>
  <c r="AB139" i="12"/>
  <c r="AB140" i="12"/>
  <c r="AB141" i="12"/>
  <c r="AB142" i="12"/>
  <c r="AB133" i="12"/>
  <c r="AB134" i="12"/>
  <c r="AB135" i="12"/>
  <c r="AB136" i="12"/>
  <c r="AB137" i="12"/>
  <c r="AB127" i="12"/>
  <c r="AB128" i="12"/>
  <c r="AB129" i="12"/>
  <c r="AB130" i="12"/>
  <c r="AB131" i="12"/>
  <c r="AB132" i="12"/>
  <c r="AB121" i="12"/>
  <c r="AB122" i="12"/>
  <c r="AB123" i="12"/>
  <c r="AB124" i="12"/>
  <c r="AB125" i="12"/>
  <c r="AB126" i="12"/>
  <c r="AB113" i="12"/>
  <c r="AB114" i="12"/>
  <c r="AB115" i="12"/>
  <c r="AB116" i="12"/>
  <c r="AB117" i="12"/>
  <c r="AB118" i="12"/>
  <c r="AB119" i="12"/>
  <c r="AB120" i="12"/>
  <c r="AB106" i="12"/>
  <c r="AB107" i="12"/>
  <c r="AB108" i="12"/>
  <c r="AB109" i="12"/>
  <c r="AB110" i="12"/>
  <c r="AB111" i="12"/>
  <c r="AB112" i="12"/>
  <c r="AB96" i="12"/>
  <c r="AB97" i="12"/>
  <c r="AB98" i="12"/>
  <c r="AB99" i="12"/>
  <c r="AB100" i="12"/>
  <c r="AB101" i="12"/>
  <c r="AB102" i="12"/>
  <c r="AB103" i="12"/>
  <c r="AB104" i="12"/>
  <c r="AB105" i="12"/>
  <c r="AB90" i="12"/>
  <c r="AB91" i="12"/>
  <c r="AB92" i="12"/>
  <c r="AB93" i="12"/>
  <c r="AB94" i="12"/>
  <c r="AB95" i="12"/>
  <c r="I89" i="12"/>
  <c r="S89" i="12"/>
  <c r="AB89" i="12"/>
  <c r="AB82" i="12"/>
  <c r="AB83" i="12"/>
  <c r="AB84" i="12"/>
  <c r="AB85" i="12"/>
  <c r="AB75" i="12"/>
  <c r="AB76" i="12"/>
  <c r="AB77" i="12"/>
  <c r="AB78" i="12"/>
  <c r="AB79" i="12"/>
  <c r="AB80" i="12"/>
  <c r="AB81" i="12"/>
  <c r="AB68" i="12"/>
  <c r="AB69" i="12"/>
  <c r="AB70" i="12"/>
  <c r="AB71" i="12"/>
  <c r="AB72" i="12"/>
  <c r="AB73" i="12"/>
  <c r="AB74" i="12"/>
  <c r="AB62" i="12"/>
  <c r="AB63" i="12"/>
  <c r="AB64" i="12"/>
  <c r="AB65" i="12"/>
  <c r="AB66" i="12"/>
  <c r="AB67" i="12"/>
  <c r="AB56" i="12"/>
  <c r="AB57" i="12"/>
  <c r="AB58" i="12"/>
  <c r="AB59" i="12"/>
  <c r="AB60" i="12"/>
  <c r="AB61" i="12"/>
  <c r="AB50" i="12"/>
  <c r="AB51" i="12"/>
  <c r="AB52" i="12"/>
  <c r="AB53" i="12"/>
  <c r="AB54" i="12"/>
  <c r="AB55" i="12"/>
  <c r="AB44" i="12"/>
  <c r="AB45" i="12"/>
  <c r="AB46" i="12"/>
  <c r="AB47" i="12"/>
  <c r="AB48" i="12"/>
  <c r="AB49" i="12"/>
  <c r="AB37" i="12"/>
  <c r="AB38" i="12"/>
  <c r="AB39" i="12"/>
  <c r="AB40" i="12"/>
  <c r="AB41" i="12"/>
  <c r="AB42" i="12"/>
  <c r="AB43" i="12"/>
  <c r="AB32" i="12"/>
  <c r="AB33" i="12"/>
  <c r="AB34" i="12"/>
  <c r="AB35" i="12"/>
  <c r="AB36" i="12"/>
  <c r="AB24" i="12"/>
  <c r="AB25" i="12"/>
  <c r="AB26" i="12"/>
  <c r="AB27" i="12"/>
  <c r="AB28" i="12"/>
  <c r="AB29" i="12"/>
  <c r="AB30" i="12"/>
  <c r="AB31" i="12"/>
  <c r="AB18" i="12"/>
  <c r="AB19" i="12"/>
  <c r="AB20" i="12"/>
  <c r="AB21" i="12"/>
  <c r="AB22" i="12"/>
  <c r="AB23" i="12"/>
  <c r="AB17" i="12"/>
  <c r="AB11" i="12"/>
  <c r="AB12" i="12"/>
  <c r="AB13" i="12"/>
  <c r="AB14" i="12"/>
  <c r="AB15" i="12"/>
  <c r="AB178" i="12"/>
  <c r="AA174" i="12"/>
  <c r="AA175" i="12"/>
  <c r="AA176" i="12"/>
  <c r="AA177" i="12"/>
  <c r="AA168" i="12"/>
  <c r="AA169" i="12"/>
  <c r="AA170" i="12"/>
  <c r="AA171" i="12"/>
  <c r="AA172" i="12"/>
  <c r="AA173" i="12"/>
  <c r="AA162" i="12"/>
  <c r="AA163" i="12"/>
  <c r="AA164" i="12"/>
  <c r="AA165" i="12"/>
  <c r="AA166" i="12"/>
  <c r="AA167" i="12"/>
  <c r="AA156" i="12"/>
  <c r="AA157" i="12"/>
  <c r="AA158" i="12"/>
  <c r="AA159" i="12"/>
  <c r="AA160" i="12"/>
  <c r="AA161" i="12"/>
  <c r="AA150" i="12"/>
  <c r="AA151" i="12"/>
  <c r="AA152" i="12"/>
  <c r="AA153" i="12"/>
  <c r="AA154" i="12"/>
  <c r="AA155" i="12"/>
  <c r="AA143" i="12"/>
  <c r="AA144" i="12"/>
  <c r="AA145" i="12"/>
  <c r="AA146" i="12"/>
  <c r="AA147" i="12"/>
  <c r="AA148" i="12"/>
  <c r="AA149" i="12"/>
  <c r="AA138" i="12"/>
  <c r="AA139" i="12"/>
  <c r="AA140" i="12"/>
  <c r="AA141" i="12"/>
  <c r="AA142" i="12"/>
  <c r="AA133" i="12"/>
  <c r="AA134" i="12"/>
  <c r="AA135" i="12"/>
  <c r="AA136" i="12"/>
  <c r="AA137" i="12"/>
  <c r="AA127" i="12"/>
  <c r="AA128" i="12"/>
  <c r="AA129" i="12"/>
  <c r="AA130" i="12"/>
  <c r="AA131" i="12"/>
  <c r="AA132" i="12"/>
  <c r="AA121" i="12"/>
  <c r="AA122" i="12"/>
  <c r="AA123" i="12"/>
  <c r="AA124" i="12"/>
  <c r="AA125" i="12"/>
  <c r="AA126" i="12"/>
  <c r="AA113" i="12"/>
  <c r="AA114" i="12"/>
  <c r="AA115" i="12"/>
  <c r="AA116" i="12"/>
  <c r="AA117" i="12"/>
  <c r="AA118" i="12"/>
  <c r="AA119" i="12"/>
  <c r="AA120" i="12"/>
  <c r="AA106" i="12"/>
  <c r="AA107" i="12"/>
  <c r="AA108" i="12"/>
  <c r="AA109" i="12"/>
  <c r="AA110" i="12"/>
  <c r="AA111" i="12"/>
  <c r="AA112" i="12"/>
  <c r="AA96" i="12"/>
  <c r="AA97" i="12"/>
  <c r="AA98" i="12"/>
  <c r="AA99" i="12"/>
  <c r="AA100" i="12"/>
  <c r="AA101" i="12"/>
  <c r="AA102" i="12"/>
  <c r="AA103" i="12"/>
  <c r="AA104" i="12"/>
  <c r="AA105" i="12"/>
  <c r="AA90" i="12"/>
  <c r="AA91" i="12"/>
  <c r="AA92" i="12"/>
  <c r="AA93" i="12"/>
  <c r="AA94" i="12"/>
  <c r="AA95" i="12"/>
  <c r="H89" i="12"/>
  <c r="R89" i="12"/>
  <c r="AA89" i="12"/>
  <c r="AA82" i="12"/>
  <c r="AA83" i="12"/>
  <c r="AA84" i="12"/>
  <c r="AA85" i="12"/>
  <c r="AA75" i="12"/>
  <c r="AA76" i="12"/>
  <c r="AA77" i="12"/>
  <c r="AA78" i="12"/>
  <c r="AA79" i="12"/>
  <c r="AA80" i="12"/>
  <c r="AA81" i="12"/>
  <c r="AA68" i="12"/>
  <c r="AA69" i="12"/>
  <c r="AA70" i="12"/>
  <c r="AA71" i="12"/>
  <c r="AA72" i="12"/>
  <c r="AA73" i="12"/>
  <c r="AA74" i="12"/>
  <c r="AA62" i="12"/>
  <c r="AA63" i="12"/>
  <c r="AA64" i="12"/>
  <c r="AA65" i="12"/>
  <c r="AA66" i="12"/>
  <c r="AA67" i="12"/>
  <c r="AA56" i="12"/>
  <c r="AA57" i="12"/>
  <c r="AA58" i="12"/>
  <c r="AA59" i="12"/>
  <c r="AA60" i="12"/>
  <c r="AA61" i="12"/>
  <c r="AA50" i="12"/>
  <c r="AA51" i="12"/>
  <c r="AA52" i="12"/>
  <c r="AA53" i="12"/>
  <c r="AA54" i="12"/>
  <c r="AA55" i="12"/>
  <c r="AA44" i="12"/>
  <c r="AA45" i="12"/>
  <c r="AA46" i="12"/>
  <c r="AA47" i="12"/>
  <c r="AA48" i="12"/>
  <c r="AA49" i="12"/>
  <c r="AA37" i="12"/>
  <c r="AA38" i="12"/>
  <c r="AA39" i="12"/>
  <c r="AA40" i="12"/>
  <c r="AA41" i="12"/>
  <c r="AA42" i="12"/>
  <c r="AA43" i="12"/>
  <c r="AA32" i="12"/>
  <c r="AA33" i="12"/>
  <c r="AA34" i="12"/>
  <c r="AA35" i="12"/>
  <c r="AA36" i="12"/>
  <c r="AA24" i="12"/>
  <c r="AA25" i="12"/>
  <c r="AA26" i="12"/>
  <c r="AA27" i="12"/>
  <c r="AA28" i="12"/>
  <c r="AA29" i="12"/>
  <c r="AA30" i="12"/>
  <c r="AA31" i="12"/>
  <c r="AA18" i="12"/>
  <c r="AA19" i="12"/>
  <c r="AA20" i="12"/>
  <c r="AA21" i="12"/>
  <c r="AA22" i="12"/>
  <c r="AA23" i="12"/>
  <c r="AA17" i="12"/>
  <c r="AA11" i="12"/>
  <c r="AA12" i="12"/>
  <c r="AA13" i="12"/>
  <c r="AA14" i="12"/>
  <c r="AA15" i="12"/>
  <c r="AA178" i="12"/>
  <c r="Z174" i="12"/>
  <c r="Z175" i="12"/>
  <c r="Z176" i="12"/>
  <c r="Z177" i="12"/>
  <c r="Z168" i="12"/>
  <c r="Z169" i="12"/>
  <c r="Z170" i="12"/>
  <c r="Z171" i="12"/>
  <c r="Z172" i="12"/>
  <c r="Z173" i="12"/>
  <c r="Z162" i="12"/>
  <c r="Z163" i="12"/>
  <c r="Z164" i="12"/>
  <c r="Z165" i="12"/>
  <c r="Z166" i="12"/>
  <c r="Z167" i="12"/>
  <c r="Z156" i="12"/>
  <c r="Z157" i="12"/>
  <c r="Z158" i="12"/>
  <c r="Z159" i="12"/>
  <c r="Z160" i="12"/>
  <c r="Z161" i="12"/>
  <c r="Z150" i="12"/>
  <c r="Z151" i="12"/>
  <c r="Z152" i="12"/>
  <c r="Z153" i="12"/>
  <c r="Z154" i="12"/>
  <c r="Z155" i="12"/>
  <c r="Z143" i="12"/>
  <c r="Z144" i="12"/>
  <c r="Z145" i="12"/>
  <c r="Z146" i="12"/>
  <c r="Z147" i="12"/>
  <c r="Z148" i="12"/>
  <c r="Z149" i="12"/>
  <c r="Z138" i="12"/>
  <c r="Z139" i="12"/>
  <c r="Z140" i="12"/>
  <c r="Z141" i="12"/>
  <c r="Z142" i="12"/>
  <c r="Z133" i="12"/>
  <c r="Z134" i="12"/>
  <c r="Z135" i="12"/>
  <c r="Z136" i="12"/>
  <c r="Z137" i="12"/>
  <c r="Z127" i="12"/>
  <c r="Z128" i="12"/>
  <c r="Z129" i="12"/>
  <c r="Z130" i="12"/>
  <c r="Z131" i="12"/>
  <c r="Z132" i="12"/>
  <c r="Z121" i="12"/>
  <c r="Z122" i="12"/>
  <c r="Z123" i="12"/>
  <c r="Z124" i="12"/>
  <c r="Z125" i="12"/>
  <c r="Z126" i="12"/>
  <c r="Z113" i="12"/>
  <c r="Z114" i="12"/>
  <c r="Z115" i="12"/>
  <c r="Z116" i="12"/>
  <c r="Z117" i="12"/>
  <c r="Z118" i="12"/>
  <c r="Z119" i="12"/>
  <c r="Z120" i="12"/>
  <c r="Z106" i="12"/>
  <c r="Z107" i="12"/>
  <c r="Z108" i="12"/>
  <c r="Z109" i="12"/>
  <c r="Z110" i="12"/>
  <c r="Z111" i="12"/>
  <c r="Z112" i="12"/>
  <c r="Z96" i="12"/>
  <c r="Z97" i="12"/>
  <c r="Z98" i="12"/>
  <c r="Z99" i="12"/>
  <c r="Z100" i="12"/>
  <c r="Z101" i="12"/>
  <c r="Z102" i="12"/>
  <c r="Z103" i="12"/>
  <c r="Z104" i="12"/>
  <c r="Z105" i="12"/>
  <c r="Z90" i="12"/>
  <c r="Z91" i="12"/>
  <c r="Z92" i="12"/>
  <c r="Z93" i="12"/>
  <c r="Z94" i="12"/>
  <c r="Z95" i="12"/>
  <c r="G89" i="12"/>
  <c r="Q89" i="12"/>
  <c r="Z89" i="12"/>
  <c r="Z82" i="12"/>
  <c r="Z83" i="12"/>
  <c r="Z84" i="12"/>
  <c r="Z85" i="12"/>
  <c r="Z75" i="12"/>
  <c r="Z76" i="12"/>
  <c r="Z77" i="12"/>
  <c r="Z78" i="12"/>
  <c r="Z79" i="12"/>
  <c r="Z80" i="12"/>
  <c r="Z81" i="12"/>
  <c r="Z68" i="12"/>
  <c r="Z69" i="12"/>
  <c r="Z70" i="12"/>
  <c r="Z71" i="12"/>
  <c r="Z72" i="12"/>
  <c r="Z73" i="12"/>
  <c r="Z74" i="12"/>
  <c r="Z62" i="12"/>
  <c r="Z63" i="12"/>
  <c r="Z64" i="12"/>
  <c r="Z65" i="12"/>
  <c r="Z66" i="12"/>
  <c r="Z67" i="12"/>
  <c r="Z56" i="12"/>
  <c r="Z57" i="12"/>
  <c r="Z58" i="12"/>
  <c r="Z59" i="12"/>
  <c r="Z60" i="12"/>
  <c r="Z61" i="12"/>
  <c r="Z50" i="12"/>
  <c r="Z51" i="12"/>
  <c r="Z52" i="12"/>
  <c r="Z53" i="12"/>
  <c r="Z54" i="12"/>
  <c r="Z55" i="12"/>
  <c r="Z44" i="12"/>
  <c r="Z45" i="12"/>
  <c r="Z46" i="12"/>
  <c r="Z47" i="12"/>
  <c r="Z48" i="12"/>
  <c r="Z49" i="12"/>
  <c r="Z37" i="12"/>
  <c r="Z38" i="12"/>
  <c r="Z39" i="12"/>
  <c r="Z40" i="12"/>
  <c r="Z41" i="12"/>
  <c r="Z42" i="12"/>
  <c r="Z43" i="12"/>
  <c r="Z32" i="12"/>
  <c r="Z33" i="12"/>
  <c r="Z34" i="12"/>
  <c r="Z35" i="12"/>
  <c r="Z36" i="12"/>
  <c r="Z24" i="12"/>
  <c r="Z25" i="12"/>
  <c r="Z26" i="12"/>
  <c r="Z27" i="12"/>
  <c r="Z28" i="12"/>
  <c r="Z29" i="12"/>
  <c r="Z30" i="12"/>
  <c r="Z31" i="12"/>
  <c r="Z18" i="12"/>
  <c r="Z19" i="12"/>
  <c r="Z20" i="12"/>
  <c r="Z21" i="12"/>
  <c r="Z22" i="12"/>
  <c r="Z23" i="12"/>
  <c r="Z17" i="12"/>
  <c r="Z11" i="12"/>
  <c r="Z12" i="12"/>
  <c r="Z13" i="12"/>
  <c r="Z14" i="12"/>
  <c r="Z15" i="12"/>
  <c r="Z178" i="12"/>
  <c r="Y174" i="12"/>
  <c r="Y175" i="12"/>
  <c r="Y176" i="12"/>
  <c r="Y177" i="12"/>
  <c r="Y168" i="12"/>
  <c r="Y169" i="12"/>
  <c r="Y170" i="12"/>
  <c r="Y171" i="12"/>
  <c r="Y172" i="12"/>
  <c r="Y173" i="12"/>
  <c r="Y162" i="12"/>
  <c r="Y163" i="12"/>
  <c r="Y164" i="12"/>
  <c r="Y165" i="12"/>
  <c r="Y166" i="12"/>
  <c r="Y167" i="12"/>
  <c r="Y156" i="12"/>
  <c r="Y157" i="12"/>
  <c r="Y158" i="12"/>
  <c r="Y159" i="12"/>
  <c r="Y160" i="12"/>
  <c r="Y161" i="12"/>
  <c r="Y150" i="12"/>
  <c r="Y151" i="12"/>
  <c r="Y152" i="12"/>
  <c r="Y153" i="12"/>
  <c r="Y154" i="12"/>
  <c r="Y155" i="12"/>
  <c r="Y143" i="12"/>
  <c r="Y144" i="12"/>
  <c r="Y145" i="12"/>
  <c r="Y146" i="12"/>
  <c r="Y147" i="12"/>
  <c r="Y148" i="12"/>
  <c r="Y149" i="12"/>
  <c r="Y138" i="12"/>
  <c r="Y139" i="12"/>
  <c r="Y140" i="12"/>
  <c r="Y141" i="12"/>
  <c r="Y142" i="12"/>
  <c r="Y133" i="12"/>
  <c r="Y134" i="12"/>
  <c r="Y135" i="12"/>
  <c r="Y136" i="12"/>
  <c r="Y137" i="12"/>
  <c r="Y127" i="12"/>
  <c r="Y128" i="12"/>
  <c r="Y129" i="12"/>
  <c r="Y130" i="12"/>
  <c r="Y131" i="12"/>
  <c r="Y132" i="12"/>
  <c r="Y121" i="12"/>
  <c r="Y122" i="12"/>
  <c r="Y123" i="12"/>
  <c r="Y124" i="12"/>
  <c r="Y125" i="12"/>
  <c r="Y126" i="12"/>
  <c r="Y113" i="12"/>
  <c r="Y114" i="12"/>
  <c r="Y115" i="12"/>
  <c r="Y116" i="12"/>
  <c r="Y117" i="12"/>
  <c r="Y118" i="12"/>
  <c r="Y119" i="12"/>
  <c r="Y120" i="12"/>
  <c r="Y106" i="12"/>
  <c r="Y107" i="12"/>
  <c r="Y108" i="12"/>
  <c r="Y109" i="12"/>
  <c r="Y110" i="12"/>
  <c r="Y111" i="12"/>
  <c r="Y112" i="12"/>
  <c r="Y96" i="12"/>
  <c r="Y97" i="12"/>
  <c r="Y98" i="12"/>
  <c r="Y99" i="12"/>
  <c r="Y100" i="12"/>
  <c r="Y101" i="12"/>
  <c r="Y102" i="12"/>
  <c r="Y103" i="12"/>
  <c r="Y104" i="12"/>
  <c r="Y105" i="12"/>
  <c r="Y90" i="12"/>
  <c r="Y91" i="12"/>
  <c r="Y92" i="12"/>
  <c r="Y93" i="12"/>
  <c r="Y94" i="12"/>
  <c r="Y95" i="12"/>
  <c r="Y86" i="12"/>
  <c r="Y87" i="12"/>
  <c r="Y88" i="12"/>
  <c r="Y89" i="12"/>
  <c r="Y82" i="12"/>
  <c r="Y83" i="12"/>
  <c r="Y84" i="12"/>
  <c r="Y85" i="12"/>
  <c r="Y75" i="12"/>
  <c r="Y76" i="12"/>
  <c r="Y77" i="12"/>
  <c r="Y78" i="12"/>
  <c r="Y79" i="12"/>
  <c r="Y80" i="12"/>
  <c r="Y81" i="12"/>
  <c r="Y68" i="12"/>
  <c r="Y69" i="12"/>
  <c r="Y70" i="12"/>
  <c r="Y71" i="12"/>
  <c r="Y72" i="12"/>
  <c r="Y73" i="12"/>
  <c r="Y74" i="12"/>
  <c r="Y62" i="12"/>
  <c r="Y63" i="12"/>
  <c r="Y64" i="12"/>
  <c r="Y65" i="12"/>
  <c r="Y66" i="12"/>
  <c r="Y67" i="12"/>
  <c r="Y56" i="12"/>
  <c r="Y57" i="12"/>
  <c r="Y58" i="12"/>
  <c r="Y59" i="12"/>
  <c r="Y60" i="12"/>
  <c r="Y61" i="12"/>
  <c r="Y50" i="12"/>
  <c r="Y51" i="12"/>
  <c r="Y52" i="12"/>
  <c r="Y53" i="12"/>
  <c r="Y54" i="12"/>
  <c r="Y55" i="12"/>
  <c r="Y44" i="12"/>
  <c r="Y45" i="12"/>
  <c r="Y46" i="12"/>
  <c r="Y47" i="12"/>
  <c r="Y48" i="12"/>
  <c r="Y49" i="12"/>
  <c r="Y37" i="12"/>
  <c r="Y38" i="12"/>
  <c r="Y39" i="12"/>
  <c r="Y40" i="12"/>
  <c r="Y41" i="12"/>
  <c r="Y42" i="12"/>
  <c r="Y43" i="12"/>
  <c r="Y32" i="12"/>
  <c r="Y33" i="12"/>
  <c r="Y34" i="12"/>
  <c r="Y35" i="12"/>
  <c r="Y36" i="12"/>
  <c r="Y24" i="12"/>
  <c r="Y25" i="12"/>
  <c r="Y26" i="12"/>
  <c r="Y27" i="12"/>
  <c r="Y28" i="12"/>
  <c r="Y29" i="12"/>
  <c r="Y30" i="12"/>
  <c r="Y31" i="12"/>
  <c r="Y18" i="12"/>
  <c r="Y19" i="12"/>
  <c r="Y20" i="12"/>
  <c r="Y21" i="12"/>
  <c r="Y22" i="12"/>
  <c r="Y23" i="12"/>
  <c r="Y17" i="12"/>
  <c r="Y11" i="12"/>
  <c r="Y12" i="12"/>
  <c r="Y13" i="12"/>
  <c r="Y14" i="12"/>
  <c r="Y15" i="12"/>
  <c r="Y178" i="12"/>
  <c r="X177" i="12"/>
  <c r="X173" i="12"/>
  <c r="X167" i="12"/>
  <c r="X161" i="12"/>
  <c r="X155" i="12"/>
  <c r="X149" i="12"/>
  <c r="X142" i="12"/>
  <c r="X137" i="12"/>
  <c r="X132" i="12"/>
  <c r="X126" i="12"/>
  <c r="X120" i="12"/>
  <c r="X112" i="12"/>
  <c r="X105" i="12"/>
  <c r="X95" i="12"/>
  <c r="X85" i="12"/>
  <c r="X81" i="12"/>
  <c r="X74" i="12"/>
  <c r="X67" i="12"/>
  <c r="X61" i="12"/>
  <c r="X55" i="12"/>
  <c r="X49" i="12"/>
  <c r="X43" i="12"/>
  <c r="X36" i="12"/>
  <c r="X31" i="12"/>
  <c r="X23" i="12"/>
  <c r="X15" i="12"/>
  <c r="X178" i="12"/>
  <c r="W177" i="12"/>
  <c r="W173" i="12"/>
  <c r="W167" i="12"/>
  <c r="W161" i="12"/>
  <c r="W155" i="12"/>
  <c r="W149" i="12"/>
  <c r="W142" i="12"/>
  <c r="W137" i="12"/>
  <c r="W132" i="12"/>
  <c r="W126" i="12"/>
  <c r="W120" i="12"/>
  <c r="W112" i="12"/>
  <c r="W105" i="12"/>
  <c r="W95" i="12"/>
  <c r="W85" i="12"/>
  <c r="W81" i="12"/>
  <c r="W74" i="12"/>
  <c r="W67" i="12"/>
  <c r="W61" i="12"/>
  <c r="W55" i="12"/>
  <c r="W49" i="12"/>
  <c r="W43" i="12"/>
  <c r="W36" i="12"/>
  <c r="W31" i="12"/>
  <c r="W23" i="12"/>
  <c r="W15" i="12"/>
  <c r="W178" i="12"/>
  <c r="V177" i="12"/>
  <c r="V173" i="12"/>
  <c r="V167" i="12"/>
  <c r="V161" i="12"/>
  <c r="V155" i="12"/>
  <c r="V149" i="12"/>
  <c r="V142" i="12"/>
  <c r="V137" i="12"/>
  <c r="V132" i="12"/>
  <c r="V126" i="12"/>
  <c r="V120" i="12"/>
  <c r="V112" i="12"/>
  <c r="V105" i="12"/>
  <c r="V95" i="12"/>
  <c r="V85" i="12"/>
  <c r="V81" i="12"/>
  <c r="V74" i="12"/>
  <c r="V67" i="12"/>
  <c r="V61" i="12"/>
  <c r="V55" i="12"/>
  <c r="V49" i="12"/>
  <c r="V43" i="12"/>
  <c r="V36" i="12"/>
  <c r="V31" i="12"/>
  <c r="V23" i="12"/>
  <c r="V15" i="12"/>
  <c r="V178" i="12"/>
  <c r="U177" i="12"/>
  <c r="U173" i="12"/>
  <c r="U167" i="12"/>
  <c r="U161" i="12"/>
  <c r="U155" i="12"/>
  <c r="U149" i="12"/>
  <c r="U142" i="12"/>
  <c r="U137" i="12"/>
  <c r="U132" i="12"/>
  <c r="U126" i="12"/>
  <c r="U120" i="12"/>
  <c r="U112" i="12"/>
  <c r="U105" i="12"/>
  <c r="U95" i="12"/>
  <c r="U85" i="12"/>
  <c r="U81" i="12"/>
  <c r="U74" i="12"/>
  <c r="U67" i="12"/>
  <c r="U61" i="12"/>
  <c r="U55" i="12"/>
  <c r="U49" i="12"/>
  <c r="U43" i="12"/>
  <c r="U36" i="12"/>
  <c r="U31" i="12"/>
  <c r="U23" i="12"/>
  <c r="U15" i="12"/>
  <c r="U178" i="12"/>
  <c r="T177" i="12"/>
  <c r="T173" i="12"/>
  <c r="T167" i="12"/>
  <c r="T161" i="12"/>
  <c r="T155" i="12"/>
  <c r="T149" i="12"/>
  <c r="T142" i="12"/>
  <c r="T137" i="12"/>
  <c r="T132" i="12"/>
  <c r="T126" i="12"/>
  <c r="T120" i="12"/>
  <c r="T112" i="12"/>
  <c r="T105" i="12"/>
  <c r="T95" i="12"/>
  <c r="T85" i="12"/>
  <c r="T81" i="12"/>
  <c r="T74" i="12"/>
  <c r="T67" i="12"/>
  <c r="T61" i="12"/>
  <c r="T55" i="12"/>
  <c r="T49" i="12"/>
  <c r="T43" i="12"/>
  <c r="T36" i="12"/>
  <c r="T31" i="12"/>
  <c r="T23" i="12"/>
  <c r="T15" i="12"/>
  <c r="T178" i="12"/>
  <c r="S177" i="12"/>
  <c r="S173" i="12"/>
  <c r="S167" i="12"/>
  <c r="S161" i="12"/>
  <c r="S155" i="12"/>
  <c r="S149" i="12"/>
  <c r="S142" i="12"/>
  <c r="S137" i="12"/>
  <c r="S132" i="12"/>
  <c r="S126" i="12"/>
  <c r="S120" i="12"/>
  <c r="S112" i="12"/>
  <c r="S105" i="12"/>
  <c r="S95" i="12"/>
  <c r="S85" i="12"/>
  <c r="S81" i="12"/>
  <c r="S74" i="12"/>
  <c r="S67" i="12"/>
  <c r="S61" i="12"/>
  <c r="S55" i="12"/>
  <c r="S49" i="12"/>
  <c r="S43" i="12"/>
  <c r="S36" i="12"/>
  <c r="S31" i="12"/>
  <c r="S23" i="12"/>
  <c r="S15" i="12"/>
  <c r="S178" i="12"/>
  <c r="R177" i="12"/>
  <c r="R173" i="12"/>
  <c r="R167" i="12"/>
  <c r="R161" i="12"/>
  <c r="R155" i="12"/>
  <c r="R149" i="12"/>
  <c r="R142" i="12"/>
  <c r="R137" i="12"/>
  <c r="R132" i="12"/>
  <c r="R126" i="12"/>
  <c r="R120" i="12"/>
  <c r="R112" i="12"/>
  <c r="R105" i="12"/>
  <c r="R95" i="12"/>
  <c r="R85" i="12"/>
  <c r="R81" i="12"/>
  <c r="R74" i="12"/>
  <c r="R67" i="12"/>
  <c r="R61" i="12"/>
  <c r="R55" i="12"/>
  <c r="R49" i="12"/>
  <c r="R43" i="12"/>
  <c r="R36" i="12"/>
  <c r="R31" i="12"/>
  <c r="R23" i="12"/>
  <c r="R15" i="12"/>
  <c r="R178" i="12"/>
  <c r="Q177" i="12"/>
  <c r="Q173" i="12"/>
  <c r="Q167" i="12"/>
  <c r="Q161" i="12"/>
  <c r="Q155" i="12"/>
  <c r="Q149" i="12"/>
  <c r="Q142" i="12"/>
  <c r="Q137" i="12"/>
  <c r="Q132" i="12"/>
  <c r="Q126" i="12"/>
  <c r="Q120" i="12"/>
  <c r="Q112" i="12"/>
  <c r="Q105" i="12"/>
  <c r="Q95" i="12"/>
  <c r="Q85" i="12"/>
  <c r="Q81" i="12"/>
  <c r="Q74" i="12"/>
  <c r="Q67" i="12"/>
  <c r="Q61" i="12"/>
  <c r="Q55" i="12"/>
  <c r="Q49" i="12"/>
  <c r="Q43" i="12"/>
  <c r="Q36" i="12"/>
  <c r="Q31" i="12"/>
  <c r="Q23" i="12"/>
  <c r="Q15" i="12"/>
  <c r="Q178" i="12"/>
  <c r="P174" i="12"/>
  <c r="P175" i="12"/>
  <c r="P176" i="12"/>
  <c r="P177" i="12"/>
  <c r="P168" i="12"/>
  <c r="P169" i="12"/>
  <c r="P170" i="12"/>
  <c r="P171" i="12"/>
  <c r="P172" i="12"/>
  <c r="P173" i="12"/>
  <c r="P162" i="12"/>
  <c r="P163" i="12"/>
  <c r="P164" i="12"/>
  <c r="P165" i="12"/>
  <c r="P166" i="12"/>
  <c r="P167" i="12"/>
  <c r="P156" i="12"/>
  <c r="P157" i="12"/>
  <c r="P158" i="12"/>
  <c r="P159" i="12"/>
  <c r="P160" i="12"/>
  <c r="P161" i="12"/>
  <c r="P150" i="12"/>
  <c r="P151" i="12"/>
  <c r="P152" i="12"/>
  <c r="P153" i="12"/>
  <c r="P154" i="12"/>
  <c r="P155" i="12"/>
  <c r="P143" i="12"/>
  <c r="P144" i="12"/>
  <c r="P145" i="12"/>
  <c r="P146" i="12"/>
  <c r="P147" i="12"/>
  <c r="P148" i="12"/>
  <c r="P149" i="12"/>
  <c r="P138" i="12"/>
  <c r="P139" i="12"/>
  <c r="P140" i="12"/>
  <c r="P141" i="12"/>
  <c r="P142" i="12"/>
  <c r="P133" i="12"/>
  <c r="P134" i="12"/>
  <c r="P135" i="12"/>
  <c r="P136" i="12"/>
  <c r="P137" i="12"/>
  <c r="P127" i="12"/>
  <c r="P128" i="12"/>
  <c r="P129" i="12"/>
  <c r="P130" i="12"/>
  <c r="P131" i="12"/>
  <c r="P132" i="12"/>
  <c r="P121" i="12"/>
  <c r="P122" i="12"/>
  <c r="P123" i="12"/>
  <c r="P124" i="12"/>
  <c r="P125" i="12"/>
  <c r="P126" i="12"/>
  <c r="P113" i="12"/>
  <c r="P114" i="12"/>
  <c r="P115" i="12"/>
  <c r="P116" i="12"/>
  <c r="P117" i="12"/>
  <c r="P118" i="12"/>
  <c r="P119" i="12"/>
  <c r="P120" i="12"/>
  <c r="P106" i="12"/>
  <c r="P107" i="12"/>
  <c r="P108" i="12"/>
  <c r="P109" i="12"/>
  <c r="P110" i="12"/>
  <c r="P111" i="12"/>
  <c r="P112" i="12"/>
  <c r="P96" i="12"/>
  <c r="P97" i="12"/>
  <c r="P98" i="12"/>
  <c r="P99" i="12"/>
  <c r="P100" i="12"/>
  <c r="P101" i="12"/>
  <c r="P102" i="12"/>
  <c r="P103" i="12"/>
  <c r="P104" i="12"/>
  <c r="P105" i="12"/>
  <c r="P90" i="12"/>
  <c r="P91" i="12"/>
  <c r="P92" i="12"/>
  <c r="P93" i="12"/>
  <c r="P94" i="12"/>
  <c r="P95" i="12"/>
  <c r="P86" i="12"/>
  <c r="P87" i="12"/>
  <c r="P88" i="12"/>
  <c r="P89" i="12"/>
  <c r="P82" i="12"/>
  <c r="P83" i="12"/>
  <c r="P84" i="12"/>
  <c r="P85" i="12"/>
  <c r="P75" i="12"/>
  <c r="P76" i="12"/>
  <c r="P77" i="12"/>
  <c r="P78" i="12"/>
  <c r="P79" i="12"/>
  <c r="P80" i="12"/>
  <c r="P81" i="12"/>
  <c r="P68" i="12"/>
  <c r="P69" i="12"/>
  <c r="P70" i="12"/>
  <c r="P71" i="12"/>
  <c r="P72" i="12"/>
  <c r="P73" i="12"/>
  <c r="P74" i="12"/>
  <c r="P62" i="12"/>
  <c r="P63" i="12"/>
  <c r="P64" i="12"/>
  <c r="P65" i="12"/>
  <c r="P66" i="12"/>
  <c r="P67" i="12"/>
  <c r="P56" i="12"/>
  <c r="P57" i="12"/>
  <c r="P58" i="12"/>
  <c r="P59" i="12"/>
  <c r="P60" i="12"/>
  <c r="P61" i="12"/>
  <c r="P50" i="12"/>
  <c r="P51" i="12"/>
  <c r="P52" i="12"/>
  <c r="P53" i="12"/>
  <c r="P54" i="12"/>
  <c r="P55" i="12"/>
  <c r="P44" i="12"/>
  <c r="P45" i="12"/>
  <c r="P46" i="12"/>
  <c r="P47" i="12"/>
  <c r="P48" i="12"/>
  <c r="P49" i="12"/>
  <c r="P37" i="12"/>
  <c r="P38" i="12"/>
  <c r="P39" i="12"/>
  <c r="P40" i="12"/>
  <c r="P41" i="12"/>
  <c r="P42" i="12"/>
  <c r="P43" i="12"/>
  <c r="P32" i="12"/>
  <c r="P33" i="12"/>
  <c r="P34" i="12"/>
  <c r="P35" i="12"/>
  <c r="P36" i="12"/>
  <c r="P24" i="12"/>
  <c r="P25" i="12"/>
  <c r="P26" i="12"/>
  <c r="P27" i="12"/>
  <c r="P28" i="12"/>
  <c r="P29" i="12"/>
  <c r="P30" i="12"/>
  <c r="P31" i="12"/>
  <c r="P18" i="12"/>
  <c r="P19" i="12"/>
  <c r="P20" i="12"/>
  <c r="P21" i="12"/>
  <c r="P22" i="12"/>
  <c r="P23" i="12"/>
  <c r="P17" i="12"/>
  <c r="P11" i="12"/>
  <c r="P12" i="12"/>
  <c r="P13" i="12"/>
  <c r="P14" i="12"/>
  <c r="P15" i="12"/>
  <c r="P178" i="12"/>
  <c r="O174" i="12"/>
  <c r="O175" i="12"/>
  <c r="O176" i="12"/>
  <c r="O177" i="12"/>
  <c r="O168" i="12"/>
  <c r="O169" i="12"/>
  <c r="O170" i="12"/>
  <c r="O171" i="12"/>
  <c r="O172" i="12"/>
  <c r="O173" i="12"/>
  <c r="O162" i="12"/>
  <c r="O163" i="12"/>
  <c r="O164" i="12"/>
  <c r="O165" i="12"/>
  <c r="O166" i="12"/>
  <c r="O167" i="12"/>
  <c r="O156" i="12"/>
  <c r="O157" i="12"/>
  <c r="O158" i="12"/>
  <c r="O159" i="12"/>
  <c r="O160" i="12"/>
  <c r="O161" i="12"/>
  <c r="O150" i="12"/>
  <c r="O151" i="12"/>
  <c r="O152" i="12"/>
  <c r="O153" i="12"/>
  <c r="O154" i="12"/>
  <c r="O155" i="12"/>
  <c r="O143" i="12"/>
  <c r="O144" i="12"/>
  <c r="O145" i="12"/>
  <c r="O146" i="12"/>
  <c r="O147" i="12"/>
  <c r="O148" i="12"/>
  <c r="O149" i="12"/>
  <c r="O138" i="12"/>
  <c r="O139" i="12"/>
  <c r="O140" i="12"/>
  <c r="O141" i="12"/>
  <c r="O142" i="12"/>
  <c r="O133" i="12"/>
  <c r="O134" i="12"/>
  <c r="O135" i="12"/>
  <c r="O136" i="12"/>
  <c r="O137" i="12"/>
  <c r="O127" i="12"/>
  <c r="O128" i="12"/>
  <c r="O129" i="12"/>
  <c r="O130" i="12"/>
  <c r="O131" i="12"/>
  <c r="O132" i="12"/>
  <c r="O121" i="12"/>
  <c r="O122" i="12"/>
  <c r="O123" i="12"/>
  <c r="O124" i="12"/>
  <c r="O125" i="12"/>
  <c r="O126" i="12"/>
  <c r="O113" i="12"/>
  <c r="O114" i="12"/>
  <c r="O115" i="12"/>
  <c r="O116" i="12"/>
  <c r="O117" i="12"/>
  <c r="O118" i="12"/>
  <c r="O119" i="12"/>
  <c r="O120" i="12"/>
  <c r="O106" i="12"/>
  <c r="O107" i="12"/>
  <c r="O108" i="12"/>
  <c r="O109" i="12"/>
  <c r="O110" i="12"/>
  <c r="O111" i="12"/>
  <c r="O112" i="12"/>
  <c r="O96" i="12"/>
  <c r="O97" i="12"/>
  <c r="O98" i="12"/>
  <c r="O99" i="12"/>
  <c r="O100" i="12"/>
  <c r="O101" i="12"/>
  <c r="O102" i="12"/>
  <c r="O103" i="12"/>
  <c r="O104" i="12"/>
  <c r="O105" i="12"/>
  <c r="O90" i="12"/>
  <c r="O91" i="12"/>
  <c r="O92" i="12"/>
  <c r="O93" i="12"/>
  <c r="O94" i="12"/>
  <c r="O95" i="12"/>
  <c r="O89" i="12"/>
  <c r="O82" i="12"/>
  <c r="O83" i="12"/>
  <c r="O84" i="12"/>
  <c r="O85" i="12"/>
  <c r="O75" i="12"/>
  <c r="O76" i="12"/>
  <c r="O77" i="12"/>
  <c r="O78" i="12"/>
  <c r="O79" i="12"/>
  <c r="O80" i="12"/>
  <c r="O81" i="12"/>
  <c r="O68" i="12"/>
  <c r="O69" i="12"/>
  <c r="O70" i="12"/>
  <c r="O71" i="12"/>
  <c r="O72" i="12"/>
  <c r="O73" i="12"/>
  <c r="O74" i="12"/>
  <c r="O62" i="12"/>
  <c r="O63" i="12"/>
  <c r="O64" i="12"/>
  <c r="O65" i="12"/>
  <c r="O66" i="12"/>
  <c r="O67" i="12"/>
  <c r="O56" i="12"/>
  <c r="O57" i="12"/>
  <c r="O58" i="12"/>
  <c r="O59" i="12"/>
  <c r="O60" i="12"/>
  <c r="O61" i="12"/>
  <c r="O50" i="12"/>
  <c r="O51" i="12"/>
  <c r="O52" i="12"/>
  <c r="O53" i="12"/>
  <c r="O54" i="12"/>
  <c r="O55" i="12"/>
  <c r="O44" i="12"/>
  <c r="O45" i="12"/>
  <c r="O46" i="12"/>
  <c r="O47" i="12"/>
  <c r="O48" i="12"/>
  <c r="O49" i="12"/>
  <c r="N43" i="12"/>
  <c r="O43" i="12"/>
  <c r="N36" i="12"/>
  <c r="O36" i="12"/>
  <c r="N31" i="12"/>
  <c r="O31" i="12"/>
  <c r="N23" i="12"/>
  <c r="O23" i="12"/>
  <c r="O17" i="12"/>
  <c r="N15" i="12"/>
  <c r="O15" i="12"/>
  <c r="O178" i="12"/>
  <c r="N177" i="12"/>
  <c r="N173" i="12"/>
  <c r="N167" i="12"/>
  <c r="N161" i="12"/>
  <c r="N155" i="12"/>
  <c r="N149" i="12"/>
  <c r="N142" i="12"/>
  <c r="N137" i="12"/>
  <c r="N132" i="12"/>
  <c r="N126" i="12"/>
  <c r="N120" i="12"/>
  <c r="N112" i="12"/>
  <c r="N105" i="12"/>
  <c r="N95" i="12"/>
  <c r="N85" i="12"/>
  <c r="N81" i="12"/>
  <c r="N74" i="12"/>
  <c r="N67" i="12"/>
  <c r="N61" i="12"/>
  <c r="N55" i="12"/>
  <c r="N49" i="12"/>
  <c r="N178" i="12"/>
  <c r="M177" i="12"/>
  <c r="M173" i="12"/>
  <c r="M167" i="12"/>
  <c r="M161" i="12"/>
  <c r="M155" i="12"/>
  <c r="M149" i="12"/>
  <c r="M142" i="12"/>
  <c r="M137" i="12"/>
  <c r="M132" i="12"/>
  <c r="M126" i="12"/>
  <c r="M120" i="12"/>
  <c r="M112" i="12"/>
  <c r="M105" i="12"/>
  <c r="M95" i="12"/>
  <c r="M85" i="12"/>
  <c r="M81" i="12"/>
  <c r="M74" i="12"/>
  <c r="M67" i="12"/>
  <c r="M61" i="12"/>
  <c r="M55" i="12"/>
  <c r="M49" i="12"/>
  <c r="M43" i="12"/>
  <c r="M36" i="12"/>
  <c r="M31" i="12"/>
  <c r="M23" i="12"/>
  <c r="M15" i="12"/>
  <c r="M178" i="12"/>
  <c r="L177" i="12"/>
  <c r="L173" i="12"/>
  <c r="L167" i="12"/>
  <c r="L161" i="12"/>
  <c r="L155" i="12"/>
  <c r="L149" i="12"/>
  <c r="L142" i="12"/>
  <c r="L137" i="12"/>
  <c r="L132" i="12"/>
  <c r="L126" i="12"/>
  <c r="L120" i="12"/>
  <c r="L112" i="12"/>
  <c r="L105" i="12"/>
  <c r="L95" i="12"/>
  <c r="L85" i="12"/>
  <c r="L81" i="12"/>
  <c r="L74" i="12"/>
  <c r="L67" i="12"/>
  <c r="L61" i="12"/>
  <c r="L55" i="12"/>
  <c r="L49" i="12"/>
  <c r="L43" i="12"/>
  <c r="L36" i="12"/>
  <c r="L31" i="12"/>
  <c r="L23" i="12"/>
  <c r="L15" i="12"/>
  <c r="L178" i="12"/>
  <c r="K177" i="12"/>
  <c r="K173" i="12"/>
  <c r="K167" i="12"/>
  <c r="K161" i="12"/>
  <c r="K155" i="12"/>
  <c r="K149" i="12"/>
  <c r="K142" i="12"/>
  <c r="K137" i="12"/>
  <c r="K132" i="12"/>
  <c r="K126" i="12"/>
  <c r="K120" i="12"/>
  <c r="K112" i="12"/>
  <c r="K105" i="12"/>
  <c r="K95" i="12"/>
  <c r="K85" i="12"/>
  <c r="K81" i="12"/>
  <c r="K74" i="12"/>
  <c r="K67" i="12"/>
  <c r="K61" i="12"/>
  <c r="K55" i="12"/>
  <c r="K49" i="12"/>
  <c r="K43" i="12"/>
  <c r="K36" i="12"/>
  <c r="K31" i="12"/>
  <c r="K23" i="12"/>
  <c r="K15" i="12"/>
  <c r="K178" i="12"/>
  <c r="J177" i="12"/>
  <c r="J173" i="12"/>
  <c r="J167" i="12"/>
  <c r="J161" i="12"/>
  <c r="J155" i="12"/>
  <c r="J149" i="12"/>
  <c r="J142" i="12"/>
  <c r="J137" i="12"/>
  <c r="J132" i="12"/>
  <c r="J126" i="12"/>
  <c r="J120" i="12"/>
  <c r="J112" i="12"/>
  <c r="J105" i="12"/>
  <c r="J95" i="12"/>
  <c r="J85" i="12"/>
  <c r="J81" i="12"/>
  <c r="J74" i="12"/>
  <c r="J67" i="12"/>
  <c r="J61" i="12"/>
  <c r="J55" i="12"/>
  <c r="J49" i="12"/>
  <c r="J43" i="12"/>
  <c r="J36" i="12"/>
  <c r="J31" i="12"/>
  <c r="J23" i="12"/>
  <c r="J15" i="12"/>
  <c r="J178" i="12"/>
  <c r="I177" i="12"/>
  <c r="I173" i="12"/>
  <c r="I167" i="12"/>
  <c r="I161" i="12"/>
  <c r="I155" i="12"/>
  <c r="I149" i="12"/>
  <c r="I142" i="12"/>
  <c r="I137" i="12"/>
  <c r="I132" i="12"/>
  <c r="I126" i="12"/>
  <c r="I120" i="12"/>
  <c r="I112" i="12"/>
  <c r="I105" i="12"/>
  <c r="I95" i="12"/>
  <c r="I85" i="12"/>
  <c r="I81" i="12"/>
  <c r="I74" i="12"/>
  <c r="I67" i="12"/>
  <c r="I61" i="12"/>
  <c r="I55" i="12"/>
  <c r="I49" i="12"/>
  <c r="I43" i="12"/>
  <c r="I36" i="12"/>
  <c r="I31" i="12"/>
  <c r="I23" i="12"/>
  <c r="I15" i="12"/>
  <c r="I178" i="12"/>
  <c r="H177" i="12"/>
  <c r="H173" i="12"/>
  <c r="H167" i="12"/>
  <c r="H161" i="12"/>
  <c r="H155" i="12"/>
  <c r="H149" i="12"/>
  <c r="H142" i="12"/>
  <c r="H137" i="12"/>
  <c r="H132" i="12"/>
  <c r="H126" i="12"/>
  <c r="H120" i="12"/>
  <c r="H112" i="12"/>
  <c r="H105" i="12"/>
  <c r="H95" i="12"/>
  <c r="H85" i="12"/>
  <c r="H81" i="12"/>
  <c r="H74" i="12"/>
  <c r="H67" i="12"/>
  <c r="H61" i="12"/>
  <c r="H55" i="12"/>
  <c r="H49" i="12"/>
  <c r="H43" i="12"/>
  <c r="H36" i="12"/>
  <c r="H31" i="12"/>
  <c r="H23" i="12"/>
  <c r="H15" i="12"/>
  <c r="H178" i="12"/>
  <c r="G177" i="12"/>
  <c r="G173" i="12"/>
  <c r="G167" i="12"/>
  <c r="G161" i="12"/>
  <c r="G155" i="12"/>
  <c r="G149" i="12"/>
  <c r="G142" i="12"/>
  <c r="G137" i="12"/>
  <c r="G132" i="12"/>
  <c r="G126" i="12"/>
  <c r="G120" i="12"/>
  <c r="G112" i="12"/>
  <c r="G105" i="12"/>
  <c r="G95" i="12"/>
  <c r="G85" i="12"/>
  <c r="G81" i="12"/>
  <c r="G74" i="12"/>
  <c r="G67" i="12"/>
  <c r="G61" i="12"/>
  <c r="G55" i="12"/>
  <c r="G49" i="12"/>
  <c r="G43" i="12"/>
  <c r="G36" i="12"/>
  <c r="G31" i="12"/>
  <c r="G23" i="12"/>
  <c r="G15" i="12"/>
  <c r="G178" i="12"/>
  <c r="F177" i="12"/>
  <c r="F173" i="12"/>
  <c r="F167" i="12"/>
  <c r="F161" i="12"/>
  <c r="F155" i="12"/>
  <c r="F149" i="12"/>
  <c r="F142" i="12"/>
  <c r="F137" i="12"/>
  <c r="F132" i="12"/>
  <c r="F126" i="12"/>
  <c r="F120" i="12"/>
  <c r="F112" i="12"/>
  <c r="F105" i="12"/>
  <c r="F95" i="12"/>
  <c r="F89" i="12"/>
  <c r="F85" i="12"/>
  <c r="F81" i="12"/>
  <c r="F74" i="12"/>
  <c r="F67" i="12"/>
  <c r="F61" i="12"/>
  <c r="F55" i="12"/>
  <c r="F49" i="12"/>
  <c r="F43" i="12"/>
  <c r="F36" i="12"/>
  <c r="F31" i="12"/>
  <c r="F23" i="12"/>
  <c r="F15" i="12"/>
  <c r="F178" i="12"/>
  <c r="AH177" i="12"/>
  <c r="AH176" i="12"/>
  <c r="AH175" i="12"/>
  <c r="AH174" i="12"/>
  <c r="AH173" i="12"/>
  <c r="AH172" i="12"/>
  <c r="AH171" i="12"/>
  <c r="AH170" i="12"/>
  <c r="AH169" i="12"/>
  <c r="AH168" i="12"/>
  <c r="AH167" i="12"/>
  <c r="AH166" i="12"/>
  <c r="AH165" i="12"/>
  <c r="AH164" i="12"/>
  <c r="AH163" i="12"/>
  <c r="AH162" i="12"/>
  <c r="AH161" i="12"/>
  <c r="AH160" i="12"/>
  <c r="AH159" i="12"/>
  <c r="AH158" i="12"/>
  <c r="AH157" i="12"/>
  <c r="AH156" i="12"/>
  <c r="AH155" i="12"/>
  <c r="AH154" i="12"/>
  <c r="AH153" i="12"/>
  <c r="AH152" i="12"/>
  <c r="AH151" i="12"/>
  <c r="AH150" i="12"/>
  <c r="AH149" i="12"/>
  <c r="AH148" i="12"/>
  <c r="AH147" i="12"/>
  <c r="AH146" i="12"/>
  <c r="AH145" i="12"/>
  <c r="AH144" i="12"/>
  <c r="AH143" i="12"/>
  <c r="AH142" i="12"/>
  <c r="AH141" i="12"/>
  <c r="AH140" i="12"/>
  <c r="AH139" i="12"/>
  <c r="AH138" i="12"/>
  <c r="AH137" i="12"/>
  <c r="AH136" i="12"/>
  <c r="AH135" i="12"/>
  <c r="AH134" i="12"/>
  <c r="AH133" i="12"/>
  <c r="AH132" i="12"/>
  <c r="AH131" i="12"/>
  <c r="AH130" i="12"/>
  <c r="AH129" i="12"/>
  <c r="AH128" i="12"/>
  <c r="AH127" i="12"/>
  <c r="AH126" i="12"/>
  <c r="AH125" i="12"/>
  <c r="AH124" i="12"/>
  <c r="AH123" i="12"/>
  <c r="AH122" i="12"/>
  <c r="AH121" i="12"/>
  <c r="AH120" i="12"/>
  <c r="AH119" i="12"/>
  <c r="AH118" i="12"/>
  <c r="AH117" i="12"/>
  <c r="AH116" i="12"/>
  <c r="AH115" i="12"/>
  <c r="AH114" i="12"/>
  <c r="AH113" i="12"/>
  <c r="AH112" i="12"/>
  <c r="AH111" i="12"/>
  <c r="AH110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91" i="12"/>
  <c r="AH90" i="12"/>
  <c r="AH89" i="12"/>
  <c r="AG88" i="12"/>
  <c r="AH88" i="12"/>
  <c r="AF88" i="12"/>
  <c r="AE88" i="12"/>
  <c r="AD88" i="12"/>
  <c r="AC88" i="12"/>
  <c r="AB88" i="12"/>
  <c r="AA88" i="12"/>
  <c r="Z88" i="12"/>
  <c r="O88" i="12"/>
  <c r="AG87" i="12"/>
  <c r="AH87" i="12"/>
  <c r="AF87" i="12"/>
  <c r="AE87" i="12"/>
  <c r="AD87" i="12"/>
  <c r="AC87" i="12"/>
  <c r="AB87" i="12"/>
  <c r="AA87" i="12"/>
  <c r="Z87" i="12"/>
  <c r="O87" i="12"/>
  <c r="AG86" i="12"/>
  <c r="AH86" i="12"/>
  <c r="AF86" i="12"/>
  <c r="AE86" i="12"/>
  <c r="AD86" i="12"/>
  <c r="AC86" i="12"/>
  <c r="AB86" i="12"/>
  <c r="AA86" i="12"/>
  <c r="Z86" i="12"/>
  <c r="O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O42" i="12"/>
  <c r="AH41" i="12"/>
  <c r="O41" i="12"/>
  <c r="AH40" i="12"/>
  <c r="O40" i="12"/>
  <c r="AH39" i="12"/>
  <c r="O39" i="12"/>
  <c r="AH38" i="12"/>
  <c r="O38" i="12"/>
  <c r="AH37" i="12"/>
  <c r="O37" i="12"/>
  <c r="AH36" i="12"/>
  <c r="AH35" i="12"/>
  <c r="O35" i="12"/>
  <c r="AH34" i="12"/>
  <c r="O34" i="12"/>
  <c r="AH33" i="12"/>
  <c r="O33" i="12"/>
  <c r="AH32" i="12"/>
  <c r="O32" i="12"/>
  <c r="AH31" i="12"/>
  <c r="AH30" i="12"/>
  <c r="O30" i="12"/>
  <c r="AH29" i="12"/>
  <c r="O29" i="12"/>
  <c r="AH28" i="12"/>
  <c r="O28" i="12"/>
  <c r="AH27" i="12"/>
  <c r="O27" i="12"/>
  <c r="AH26" i="12"/>
  <c r="O26" i="12"/>
  <c r="AH25" i="12"/>
  <c r="O25" i="12"/>
  <c r="AH24" i="12"/>
  <c r="O24" i="12"/>
  <c r="AH23" i="12"/>
  <c r="AH22" i="12"/>
  <c r="O22" i="12"/>
  <c r="AH21" i="12"/>
  <c r="O21" i="12"/>
  <c r="AH20" i="12"/>
  <c r="O20" i="12"/>
  <c r="AH19" i="12"/>
  <c r="O19" i="12"/>
  <c r="AH18" i="12"/>
  <c r="O18" i="12"/>
  <c r="AH17" i="12"/>
  <c r="N16" i="12"/>
  <c r="X16" i="12"/>
  <c r="AG16" i="12"/>
  <c r="AH16" i="12"/>
  <c r="AF16" i="12"/>
  <c r="AE16" i="12"/>
  <c r="AD16" i="12"/>
  <c r="AC16" i="12"/>
  <c r="AB16" i="12"/>
  <c r="AA16" i="12"/>
  <c r="Z16" i="12"/>
  <c r="Y16" i="12"/>
  <c r="P16" i="12"/>
  <c r="O16" i="12"/>
  <c r="AH15" i="12"/>
  <c r="AH14" i="12"/>
  <c r="O14" i="12"/>
  <c r="AH13" i="12"/>
  <c r="O13" i="12"/>
  <c r="AH12" i="12"/>
  <c r="O12" i="12"/>
  <c r="AH11" i="12"/>
  <c r="O11" i="12"/>
  <c r="V50" i="11"/>
  <c r="V37" i="11"/>
  <c r="V26" i="11"/>
  <c r="V51" i="11"/>
  <c r="U50" i="11"/>
  <c r="U37" i="11"/>
  <c r="U26" i="11"/>
  <c r="U51" i="11"/>
  <c r="S41" i="11"/>
  <c r="S50" i="11"/>
  <c r="S37" i="11"/>
  <c r="S26" i="11"/>
  <c r="S16" i="11"/>
  <c r="S9" i="11"/>
  <c r="S51" i="11"/>
  <c r="D50" i="11"/>
  <c r="D37" i="11"/>
  <c r="D26" i="11"/>
  <c r="D16" i="11"/>
  <c r="D9" i="11"/>
  <c r="D51" i="11"/>
  <c r="T51" i="11"/>
  <c r="T39" i="11"/>
  <c r="R39" i="11"/>
  <c r="Q39" i="11"/>
  <c r="T40" i="11"/>
  <c r="R40" i="11"/>
  <c r="Q40" i="11"/>
  <c r="T41" i="11"/>
  <c r="R41" i="11"/>
  <c r="Q41" i="11"/>
  <c r="T42" i="11"/>
  <c r="R42" i="11"/>
  <c r="Q42" i="11"/>
  <c r="T43" i="11"/>
  <c r="R43" i="11"/>
  <c r="Q43" i="11"/>
  <c r="T44" i="11"/>
  <c r="R44" i="11"/>
  <c r="Q44" i="11"/>
  <c r="T45" i="11"/>
  <c r="R45" i="11"/>
  <c r="Q45" i="11"/>
  <c r="T46" i="11"/>
  <c r="R46" i="11"/>
  <c r="Q46" i="11"/>
  <c r="T47" i="11"/>
  <c r="R47" i="11"/>
  <c r="Q47" i="11"/>
  <c r="T48" i="11"/>
  <c r="R48" i="11"/>
  <c r="Q48" i="11"/>
  <c r="T49" i="11"/>
  <c r="R49" i="11"/>
  <c r="Q49" i="11"/>
  <c r="Q50" i="11"/>
  <c r="T28" i="11"/>
  <c r="R28" i="11"/>
  <c r="Q28" i="11"/>
  <c r="T29" i="11"/>
  <c r="R29" i="11"/>
  <c r="Q29" i="11"/>
  <c r="T30" i="11"/>
  <c r="R30" i="11"/>
  <c r="Q30" i="11"/>
  <c r="T31" i="11"/>
  <c r="R31" i="11"/>
  <c r="Q31" i="11"/>
  <c r="T32" i="11"/>
  <c r="R32" i="11"/>
  <c r="Q32" i="11"/>
  <c r="T33" i="11"/>
  <c r="R33" i="11"/>
  <c r="Q33" i="11"/>
  <c r="T34" i="11"/>
  <c r="R34" i="11"/>
  <c r="Q34" i="11"/>
  <c r="T35" i="11"/>
  <c r="R35" i="11"/>
  <c r="Q35" i="11"/>
  <c r="T36" i="11"/>
  <c r="R36" i="11"/>
  <c r="Q36" i="11"/>
  <c r="Q37" i="11"/>
  <c r="T18" i="11"/>
  <c r="R18" i="11"/>
  <c r="Q18" i="11"/>
  <c r="T19" i="11"/>
  <c r="R19" i="11"/>
  <c r="Q19" i="11"/>
  <c r="T20" i="11"/>
  <c r="R20" i="11"/>
  <c r="Q20" i="11"/>
  <c r="T21" i="11"/>
  <c r="R21" i="11"/>
  <c r="Q21" i="11"/>
  <c r="T22" i="11"/>
  <c r="R22" i="11"/>
  <c r="Q22" i="11"/>
  <c r="T23" i="11"/>
  <c r="R23" i="11"/>
  <c r="Q23" i="11"/>
  <c r="T24" i="11"/>
  <c r="R24" i="11"/>
  <c r="Q24" i="11"/>
  <c r="T25" i="11"/>
  <c r="R25" i="11"/>
  <c r="Q25" i="11"/>
  <c r="Q26" i="11"/>
  <c r="T11" i="11"/>
  <c r="R11" i="11"/>
  <c r="Q11" i="11"/>
  <c r="T12" i="11"/>
  <c r="R12" i="11"/>
  <c r="Q12" i="11"/>
  <c r="T13" i="11"/>
  <c r="R13" i="11"/>
  <c r="Q13" i="11"/>
  <c r="T14" i="11"/>
  <c r="R14" i="11"/>
  <c r="Q14" i="11"/>
  <c r="T15" i="11"/>
  <c r="R15" i="11"/>
  <c r="Q15" i="11"/>
  <c r="Q16" i="11"/>
  <c r="T5" i="11"/>
  <c r="R5" i="11"/>
  <c r="Q5" i="11"/>
  <c r="T6" i="11"/>
  <c r="R6" i="11"/>
  <c r="Q6" i="11"/>
  <c r="T7" i="11"/>
  <c r="R7" i="11"/>
  <c r="Q7" i="11"/>
  <c r="T8" i="11"/>
  <c r="R8" i="11"/>
  <c r="Q8" i="11"/>
  <c r="Q9" i="11"/>
  <c r="Q51" i="11"/>
  <c r="R51" i="11"/>
  <c r="O50" i="11"/>
  <c r="O37" i="11"/>
  <c r="O26" i="11"/>
  <c r="O16" i="11"/>
  <c r="O9" i="11"/>
  <c r="O51" i="11"/>
  <c r="P51" i="11"/>
  <c r="M50" i="11"/>
  <c r="M37" i="11"/>
  <c r="M26" i="11"/>
  <c r="M16" i="11"/>
  <c r="M9" i="11"/>
  <c r="M51" i="11"/>
  <c r="N51" i="11"/>
  <c r="K39" i="11"/>
  <c r="K40" i="11"/>
  <c r="K42" i="11"/>
  <c r="K50" i="11"/>
  <c r="K30" i="11"/>
  <c r="K31" i="11"/>
  <c r="K34" i="11"/>
  <c r="K35" i="11"/>
  <c r="K37" i="11"/>
  <c r="K18" i="11"/>
  <c r="K20" i="11"/>
  <c r="K22" i="11"/>
  <c r="K23" i="11"/>
  <c r="K25" i="11"/>
  <c r="K26" i="11"/>
  <c r="K11" i="11"/>
  <c r="K13" i="11"/>
  <c r="K14" i="11"/>
  <c r="K15" i="11"/>
  <c r="K16" i="11"/>
  <c r="K5" i="11"/>
  <c r="K6" i="11"/>
  <c r="K7" i="11"/>
  <c r="K8" i="11"/>
  <c r="K9" i="11"/>
  <c r="K51" i="11"/>
  <c r="L51" i="11"/>
  <c r="I39" i="11"/>
  <c r="I40" i="11"/>
  <c r="I42" i="11"/>
  <c r="I50" i="11"/>
  <c r="I34" i="11"/>
  <c r="I35" i="11"/>
  <c r="I37" i="11"/>
  <c r="I18" i="11"/>
  <c r="I22" i="11"/>
  <c r="I23" i="11"/>
  <c r="I25" i="11"/>
  <c r="I26" i="11"/>
  <c r="I11" i="11"/>
  <c r="I16" i="11"/>
  <c r="I5" i="11"/>
  <c r="I6" i="11"/>
  <c r="I7" i="11"/>
  <c r="I8" i="11"/>
  <c r="I9" i="11"/>
  <c r="I51" i="11"/>
  <c r="J51" i="11"/>
  <c r="G39" i="11"/>
  <c r="E40" i="11"/>
  <c r="G40" i="11"/>
  <c r="G41" i="11"/>
  <c r="E42" i="11"/>
  <c r="G42" i="11"/>
  <c r="G43" i="11"/>
  <c r="E44" i="11"/>
  <c r="G44" i="11"/>
  <c r="E45" i="11"/>
  <c r="G45" i="11"/>
  <c r="E46" i="11"/>
  <c r="G46" i="11"/>
  <c r="E47" i="11"/>
  <c r="G47" i="11"/>
  <c r="E48" i="11"/>
  <c r="G48" i="11"/>
  <c r="E49" i="11"/>
  <c r="G49" i="11"/>
  <c r="G50" i="11"/>
  <c r="E28" i="11"/>
  <c r="G28" i="11"/>
  <c r="E29" i="11"/>
  <c r="G29" i="11"/>
  <c r="E30" i="11"/>
  <c r="G30" i="11"/>
  <c r="E31" i="11"/>
  <c r="G31" i="11"/>
  <c r="E32" i="11"/>
  <c r="G32" i="11"/>
  <c r="G33" i="11"/>
  <c r="E34" i="11"/>
  <c r="G34" i="11"/>
  <c r="G35" i="11"/>
  <c r="E36" i="11"/>
  <c r="G36" i="11"/>
  <c r="G37" i="11"/>
  <c r="E18" i="11"/>
  <c r="G18" i="11"/>
  <c r="G19" i="11"/>
  <c r="E20" i="11"/>
  <c r="G20" i="11"/>
  <c r="G21" i="11"/>
  <c r="E22" i="11"/>
  <c r="G22" i="11"/>
  <c r="G23" i="11"/>
  <c r="G24" i="11"/>
  <c r="G25" i="11"/>
  <c r="G26" i="11"/>
  <c r="E11" i="11"/>
  <c r="G11" i="11"/>
  <c r="G12" i="11"/>
  <c r="E13" i="11"/>
  <c r="G13" i="11"/>
  <c r="E14" i="11"/>
  <c r="G14" i="11"/>
  <c r="E15" i="11"/>
  <c r="G15" i="11"/>
  <c r="G16" i="11"/>
  <c r="E5" i="11"/>
  <c r="G5" i="11"/>
  <c r="E6" i="11"/>
  <c r="G6" i="11"/>
  <c r="G7" i="11"/>
  <c r="E8" i="11"/>
  <c r="G8" i="11"/>
  <c r="G9" i="11"/>
  <c r="G51" i="11"/>
  <c r="H51" i="11"/>
  <c r="E50" i="11"/>
  <c r="E37" i="11"/>
  <c r="E26" i="11"/>
  <c r="E16" i="11"/>
  <c r="E9" i="11"/>
  <c r="E51" i="11"/>
  <c r="F51" i="11"/>
  <c r="T50" i="11"/>
  <c r="R50" i="11"/>
  <c r="P50" i="11"/>
  <c r="N50" i="11"/>
  <c r="L50" i="11"/>
  <c r="J50" i="11"/>
  <c r="H50" i="11"/>
  <c r="F50" i="11"/>
  <c r="P49" i="11"/>
  <c r="N49" i="11"/>
  <c r="L49" i="11"/>
  <c r="J49" i="11"/>
  <c r="H49" i="11"/>
  <c r="F49" i="11"/>
  <c r="B6" i="11"/>
  <c r="B7" i="11"/>
  <c r="B8" i="11"/>
  <c r="B11" i="11"/>
  <c r="B12" i="11"/>
  <c r="B13" i="11"/>
  <c r="B14" i="11"/>
  <c r="B15" i="11"/>
  <c r="B18" i="11"/>
  <c r="B19" i="11"/>
  <c r="B20" i="11"/>
  <c r="B21" i="11"/>
  <c r="B22" i="11"/>
  <c r="B23" i="11"/>
  <c r="B24" i="11"/>
  <c r="B25" i="11"/>
  <c r="B28" i="11"/>
  <c r="B29" i="11"/>
  <c r="B30" i="11"/>
  <c r="B31" i="11"/>
  <c r="B32" i="11"/>
  <c r="B33" i="11"/>
  <c r="B34" i="11"/>
  <c r="B35" i="11"/>
  <c r="B36" i="11"/>
  <c r="B39" i="11"/>
  <c r="B40" i="11"/>
  <c r="B41" i="11"/>
  <c r="B42" i="11"/>
  <c r="B43" i="11"/>
  <c r="B44" i="11"/>
  <c r="B45" i="11"/>
  <c r="B46" i="11"/>
  <c r="B47" i="11"/>
  <c r="B48" i="11"/>
  <c r="B49" i="11"/>
  <c r="P48" i="11"/>
  <c r="N48" i="11"/>
  <c r="L48" i="11"/>
  <c r="J48" i="11"/>
  <c r="H48" i="11"/>
  <c r="F48" i="11"/>
  <c r="P47" i="11"/>
  <c r="N47" i="11"/>
  <c r="L47" i="11"/>
  <c r="J47" i="11"/>
  <c r="H47" i="11"/>
  <c r="F47" i="11"/>
  <c r="P46" i="11"/>
  <c r="N46" i="11"/>
  <c r="L46" i="11"/>
  <c r="J46" i="11"/>
  <c r="H46" i="11"/>
  <c r="F46" i="11"/>
  <c r="P45" i="11"/>
  <c r="N45" i="11"/>
  <c r="L45" i="11"/>
  <c r="J45" i="11"/>
  <c r="H45" i="11"/>
  <c r="F45" i="11"/>
  <c r="P44" i="11"/>
  <c r="N44" i="11"/>
  <c r="L44" i="11"/>
  <c r="J44" i="11"/>
  <c r="H44" i="11"/>
  <c r="F44" i="11"/>
  <c r="P43" i="11"/>
  <c r="N43" i="11"/>
  <c r="L43" i="11"/>
  <c r="J43" i="11"/>
  <c r="H43" i="11"/>
  <c r="F43" i="11"/>
  <c r="P42" i="11"/>
  <c r="N42" i="11"/>
  <c r="L42" i="11"/>
  <c r="J42" i="11"/>
  <c r="H42" i="11"/>
  <c r="F42" i="11"/>
  <c r="P41" i="11"/>
  <c r="N41" i="11"/>
  <c r="L41" i="11"/>
  <c r="J41" i="11"/>
  <c r="H41" i="11"/>
  <c r="F41" i="11"/>
  <c r="P40" i="11"/>
  <c r="N40" i="11"/>
  <c r="L40" i="11"/>
  <c r="J40" i="11"/>
  <c r="H40" i="11"/>
  <c r="F40" i="11"/>
  <c r="P39" i="11"/>
  <c r="N39" i="11"/>
  <c r="L39" i="11"/>
  <c r="J39" i="11"/>
  <c r="H39" i="11"/>
  <c r="F39" i="11"/>
  <c r="T37" i="11"/>
  <c r="R37" i="11"/>
  <c r="P37" i="11"/>
  <c r="N37" i="11"/>
  <c r="L37" i="11"/>
  <c r="J37" i="11"/>
  <c r="H37" i="11"/>
  <c r="F37" i="11"/>
  <c r="P36" i="11"/>
  <c r="N36" i="11"/>
  <c r="L36" i="11"/>
  <c r="J36" i="11"/>
  <c r="H36" i="11"/>
  <c r="F36" i="11"/>
  <c r="P35" i="11"/>
  <c r="N35" i="11"/>
  <c r="L35" i="11"/>
  <c r="J35" i="11"/>
  <c r="H35" i="11"/>
  <c r="F35" i="11"/>
  <c r="P34" i="11"/>
  <c r="N34" i="11"/>
  <c r="L34" i="11"/>
  <c r="J34" i="11"/>
  <c r="H34" i="11"/>
  <c r="F34" i="11"/>
  <c r="P33" i="11"/>
  <c r="N33" i="11"/>
  <c r="L33" i="11"/>
  <c r="J33" i="11"/>
  <c r="H33" i="11"/>
  <c r="F33" i="11"/>
  <c r="P32" i="11"/>
  <c r="N32" i="11"/>
  <c r="L32" i="11"/>
  <c r="J32" i="11"/>
  <c r="H32" i="11"/>
  <c r="F32" i="11"/>
  <c r="P31" i="11"/>
  <c r="N31" i="11"/>
  <c r="L31" i="11"/>
  <c r="J31" i="11"/>
  <c r="H31" i="11"/>
  <c r="F31" i="11"/>
  <c r="P30" i="11"/>
  <c r="N30" i="11"/>
  <c r="L30" i="11"/>
  <c r="J30" i="11"/>
  <c r="H30" i="11"/>
  <c r="F30" i="11"/>
  <c r="P29" i="11"/>
  <c r="N29" i="11"/>
  <c r="L29" i="11"/>
  <c r="J29" i="11"/>
  <c r="H29" i="11"/>
  <c r="F29" i="11"/>
  <c r="P28" i="11"/>
  <c r="N28" i="11"/>
  <c r="L28" i="11"/>
  <c r="J28" i="11"/>
  <c r="H28" i="11"/>
  <c r="F28" i="11"/>
  <c r="T26" i="11"/>
  <c r="R26" i="11"/>
  <c r="P26" i="11"/>
  <c r="N26" i="11"/>
  <c r="L26" i="11"/>
  <c r="J26" i="11"/>
  <c r="H26" i="11"/>
  <c r="F26" i="11"/>
  <c r="P25" i="11"/>
  <c r="N25" i="11"/>
  <c r="L25" i="11"/>
  <c r="J25" i="11"/>
  <c r="H25" i="11"/>
  <c r="F25" i="11"/>
  <c r="P24" i="11"/>
  <c r="N24" i="11"/>
  <c r="L24" i="11"/>
  <c r="J24" i="11"/>
  <c r="H24" i="11"/>
  <c r="F24" i="11"/>
  <c r="P23" i="11"/>
  <c r="N23" i="11"/>
  <c r="L23" i="11"/>
  <c r="J23" i="11"/>
  <c r="H23" i="11"/>
  <c r="F23" i="11"/>
  <c r="P22" i="11"/>
  <c r="N22" i="11"/>
  <c r="L22" i="11"/>
  <c r="J22" i="11"/>
  <c r="H22" i="11"/>
  <c r="F22" i="11"/>
  <c r="P21" i="11"/>
  <c r="N21" i="11"/>
  <c r="L21" i="11"/>
  <c r="J21" i="11"/>
  <c r="H21" i="11"/>
  <c r="F21" i="11"/>
  <c r="P20" i="11"/>
  <c r="N20" i="11"/>
  <c r="L20" i="11"/>
  <c r="J20" i="11"/>
  <c r="H20" i="11"/>
  <c r="F20" i="11"/>
  <c r="P19" i="11"/>
  <c r="N19" i="11"/>
  <c r="L19" i="11"/>
  <c r="J19" i="11"/>
  <c r="H19" i="11"/>
  <c r="F19" i="11"/>
  <c r="P18" i="11"/>
  <c r="N18" i="11"/>
  <c r="L18" i="11"/>
  <c r="J18" i="11"/>
  <c r="H18" i="11"/>
  <c r="F18" i="11"/>
  <c r="T16" i="11"/>
  <c r="R16" i="11"/>
  <c r="P16" i="11"/>
  <c r="N16" i="11"/>
  <c r="L16" i="11"/>
  <c r="J16" i="11"/>
  <c r="H16" i="11"/>
  <c r="F16" i="11"/>
  <c r="P15" i="11"/>
  <c r="N15" i="11"/>
  <c r="L15" i="11"/>
  <c r="J15" i="11"/>
  <c r="H15" i="11"/>
  <c r="F15" i="11"/>
  <c r="P14" i="11"/>
  <c r="N14" i="11"/>
  <c r="L14" i="11"/>
  <c r="J14" i="11"/>
  <c r="H14" i="11"/>
  <c r="F14" i="11"/>
  <c r="P13" i="11"/>
  <c r="N13" i="11"/>
  <c r="L13" i="11"/>
  <c r="J13" i="11"/>
  <c r="H13" i="11"/>
  <c r="F13" i="11"/>
  <c r="P12" i="11"/>
  <c r="N12" i="11"/>
  <c r="L12" i="11"/>
  <c r="J12" i="11"/>
  <c r="H12" i="11"/>
  <c r="F12" i="11"/>
  <c r="P11" i="11"/>
  <c r="N11" i="11"/>
  <c r="L11" i="11"/>
  <c r="J11" i="11"/>
  <c r="H11" i="11"/>
  <c r="F11" i="11"/>
  <c r="T9" i="11"/>
  <c r="R9" i="11"/>
  <c r="P9" i="11"/>
  <c r="N9" i="11"/>
  <c r="L9" i="11"/>
  <c r="J9" i="11"/>
  <c r="H9" i="11"/>
  <c r="F9" i="11"/>
  <c r="P8" i="11"/>
  <c r="N8" i="11"/>
  <c r="L8" i="11"/>
  <c r="J8" i="11"/>
  <c r="H8" i="11"/>
  <c r="F8" i="11"/>
  <c r="P7" i="11"/>
  <c r="N7" i="11"/>
  <c r="L7" i="11"/>
  <c r="J7" i="11"/>
  <c r="H7" i="11"/>
  <c r="F7" i="11"/>
  <c r="P6" i="11"/>
  <c r="N6" i="11"/>
  <c r="L6" i="11"/>
  <c r="J6" i="11"/>
  <c r="H6" i="11"/>
  <c r="F6" i="11"/>
  <c r="P5" i="11"/>
  <c r="N5" i="11"/>
  <c r="L5" i="11"/>
  <c r="J5" i="11"/>
  <c r="H5" i="11"/>
  <c r="F5" i="11"/>
  <c r="Q145" i="10"/>
  <c r="S145" i="10"/>
  <c r="Q146" i="10"/>
  <c r="S146" i="10"/>
  <c r="Q147" i="10"/>
  <c r="S147" i="10"/>
  <c r="I148" i="10"/>
  <c r="Q148" i="10"/>
  <c r="S148" i="10"/>
  <c r="Q149" i="10"/>
  <c r="S149" i="10"/>
  <c r="Q150" i="10"/>
  <c r="S150" i="10"/>
  <c r="Q151" i="10"/>
  <c r="S151" i="10"/>
  <c r="Q152" i="10"/>
  <c r="S152" i="10"/>
  <c r="Q153" i="10"/>
  <c r="S153" i="10"/>
  <c r="S155" i="10"/>
  <c r="Q126" i="10"/>
  <c r="S126" i="10"/>
  <c r="Q127" i="10"/>
  <c r="S127" i="10"/>
  <c r="Q128" i="10"/>
  <c r="S128" i="10"/>
  <c r="Q129" i="10"/>
  <c r="S129" i="10"/>
  <c r="Q130" i="10"/>
  <c r="S130" i="10"/>
  <c r="G131" i="10"/>
  <c r="Q131" i="10"/>
  <c r="S131" i="10"/>
  <c r="Q132" i="10"/>
  <c r="S132" i="10"/>
  <c r="Q133" i="10"/>
  <c r="S133" i="10"/>
  <c r="Q134" i="10"/>
  <c r="S134" i="10"/>
  <c r="Q135" i="10"/>
  <c r="S135" i="10"/>
  <c r="Q136" i="10"/>
  <c r="S136" i="10"/>
  <c r="Q137" i="10"/>
  <c r="S137" i="10"/>
  <c r="Q138" i="10"/>
  <c r="S138" i="10"/>
  <c r="Q139" i="10"/>
  <c r="S139" i="10"/>
  <c r="Q140" i="10"/>
  <c r="S140" i="10"/>
  <c r="Q141" i="10"/>
  <c r="S141" i="10"/>
  <c r="S143" i="10"/>
  <c r="Q108" i="10"/>
  <c r="S108" i="10"/>
  <c r="Q109" i="10"/>
  <c r="S109" i="10"/>
  <c r="Q110" i="10"/>
  <c r="S110" i="10"/>
  <c r="Q111" i="10"/>
  <c r="S111" i="10"/>
  <c r="Q112" i="10"/>
  <c r="S112" i="10"/>
  <c r="Q113" i="10"/>
  <c r="S113" i="10"/>
  <c r="Q114" i="10"/>
  <c r="S114" i="10"/>
  <c r="Q115" i="10"/>
  <c r="S115" i="10"/>
  <c r="Q116" i="10"/>
  <c r="S116" i="10"/>
  <c r="Q117" i="10"/>
  <c r="S117" i="10"/>
  <c r="Q118" i="10"/>
  <c r="S118" i="10"/>
  <c r="Q119" i="10"/>
  <c r="S119" i="10"/>
  <c r="Q120" i="10"/>
  <c r="S120" i="10"/>
  <c r="Q121" i="10"/>
  <c r="S121" i="10"/>
  <c r="Q122" i="10"/>
  <c r="S122" i="10"/>
  <c r="S124" i="10"/>
  <c r="Q84" i="10"/>
  <c r="S84" i="10"/>
  <c r="Q85" i="10"/>
  <c r="S85" i="10"/>
  <c r="Q86" i="10"/>
  <c r="S86" i="10"/>
  <c r="Q87" i="10"/>
  <c r="S87" i="10"/>
  <c r="Q88" i="10"/>
  <c r="S88" i="10"/>
  <c r="Q89" i="10"/>
  <c r="S89" i="10"/>
  <c r="Q90" i="10"/>
  <c r="S90" i="10"/>
  <c r="Q91" i="10"/>
  <c r="S91" i="10"/>
  <c r="Q92" i="10"/>
  <c r="S92" i="10"/>
  <c r="Q93" i="10"/>
  <c r="S93" i="10"/>
  <c r="Q94" i="10"/>
  <c r="S94" i="10"/>
  <c r="Q95" i="10"/>
  <c r="S95" i="10"/>
  <c r="Q96" i="10"/>
  <c r="S96" i="10"/>
  <c r="Q97" i="10"/>
  <c r="S97" i="10"/>
  <c r="Q98" i="10"/>
  <c r="S98" i="10"/>
  <c r="Q99" i="10"/>
  <c r="S99" i="10"/>
  <c r="Q100" i="10"/>
  <c r="S100" i="10"/>
  <c r="Q101" i="10"/>
  <c r="S101" i="10"/>
  <c r="Q102" i="10"/>
  <c r="S102" i="10"/>
  <c r="Q103" i="10"/>
  <c r="S103" i="10"/>
  <c r="Q104" i="10"/>
  <c r="S104" i="10"/>
  <c r="S106" i="10"/>
  <c r="Q71" i="10"/>
  <c r="S71" i="10"/>
  <c r="G72" i="10"/>
  <c r="Q72" i="10"/>
  <c r="S72" i="10"/>
  <c r="Q73" i="10"/>
  <c r="S73" i="10"/>
  <c r="Q74" i="10"/>
  <c r="S74" i="10"/>
  <c r="Q75" i="10"/>
  <c r="S75" i="10"/>
  <c r="Q76" i="10"/>
  <c r="S76" i="10"/>
  <c r="Q77" i="10"/>
  <c r="S77" i="10"/>
  <c r="Q78" i="10"/>
  <c r="S78" i="10"/>
  <c r="Q79" i="10"/>
  <c r="S79" i="10"/>
  <c r="Q80" i="10"/>
  <c r="S80" i="10"/>
  <c r="S82" i="10"/>
  <c r="Q56" i="10"/>
  <c r="S56" i="10"/>
  <c r="Q57" i="10"/>
  <c r="S57" i="10"/>
  <c r="Q58" i="10"/>
  <c r="S58" i="10"/>
  <c r="Q59" i="10"/>
  <c r="S59" i="10"/>
  <c r="Q60" i="10"/>
  <c r="S60" i="10"/>
  <c r="Q61" i="10"/>
  <c r="S61" i="10"/>
  <c r="Q62" i="10"/>
  <c r="S62" i="10"/>
  <c r="Q63" i="10"/>
  <c r="S63" i="10"/>
  <c r="Q64" i="10"/>
  <c r="S64" i="10"/>
  <c r="Q65" i="10"/>
  <c r="S65" i="10"/>
  <c r="Q66" i="10"/>
  <c r="S66" i="10"/>
  <c r="Q67" i="10"/>
  <c r="S67" i="10"/>
  <c r="S69" i="10"/>
  <c r="Q47" i="10"/>
  <c r="S47" i="10"/>
  <c r="Q48" i="10"/>
  <c r="S48" i="10"/>
  <c r="Q49" i="10"/>
  <c r="S49" i="10"/>
  <c r="Q50" i="10"/>
  <c r="S50" i="10"/>
  <c r="Q51" i="10"/>
  <c r="S51" i="10"/>
  <c r="Q52" i="10"/>
  <c r="S52" i="10"/>
  <c r="S54" i="10"/>
  <c r="Q30" i="10"/>
  <c r="S30" i="10"/>
  <c r="Q31" i="10"/>
  <c r="S31" i="10"/>
  <c r="Q32" i="10"/>
  <c r="S32" i="10"/>
  <c r="Q33" i="10"/>
  <c r="S33" i="10"/>
  <c r="Q34" i="10"/>
  <c r="S34" i="10"/>
  <c r="Q35" i="10"/>
  <c r="S35" i="10"/>
  <c r="Q36" i="10"/>
  <c r="S36" i="10"/>
  <c r="Q37" i="10"/>
  <c r="S37" i="10"/>
  <c r="Q38" i="10"/>
  <c r="S38" i="10"/>
  <c r="Q39" i="10"/>
  <c r="S39" i="10"/>
  <c r="Q40" i="10"/>
  <c r="S40" i="10"/>
  <c r="Q41" i="10"/>
  <c r="S41" i="10"/>
  <c r="Q42" i="10"/>
  <c r="S42" i="10"/>
  <c r="Q43" i="10"/>
  <c r="S43" i="10"/>
  <c r="S45" i="10"/>
  <c r="Q17" i="10"/>
  <c r="S17" i="10"/>
  <c r="Q18" i="10"/>
  <c r="S18" i="10"/>
  <c r="Q19" i="10"/>
  <c r="S19" i="10"/>
  <c r="Q20" i="10"/>
  <c r="S20" i="10"/>
  <c r="Q21" i="10"/>
  <c r="S21" i="10"/>
  <c r="Q22" i="10"/>
  <c r="S22" i="10"/>
  <c r="Q23" i="10"/>
  <c r="S23" i="10"/>
  <c r="Q24" i="10"/>
  <c r="S24" i="10"/>
  <c r="Q25" i="10"/>
  <c r="S25" i="10"/>
  <c r="Q26" i="10"/>
  <c r="S26" i="10"/>
  <c r="S28" i="10"/>
  <c r="S5" i="10"/>
  <c r="S6" i="10"/>
  <c r="S7" i="10"/>
  <c r="S8" i="10"/>
  <c r="S9" i="10"/>
  <c r="S10" i="10"/>
  <c r="S11" i="10"/>
  <c r="S12" i="10"/>
  <c r="S13" i="10"/>
  <c r="S15" i="10"/>
  <c r="S156" i="10"/>
  <c r="Q155" i="10"/>
  <c r="Q143" i="10"/>
  <c r="Q124" i="10"/>
  <c r="Q106" i="10"/>
  <c r="Q82" i="10"/>
  <c r="Q69" i="10"/>
  <c r="Q54" i="10"/>
  <c r="Q45" i="10"/>
  <c r="Q28" i="10"/>
  <c r="Q15" i="10"/>
  <c r="Q156" i="10"/>
  <c r="O155" i="10"/>
  <c r="O143" i="10"/>
  <c r="O124" i="10"/>
  <c r="O106" i="10"/>
  <c r="O82" i="10"/>
  <c r="O69" i="10"/>
  <c r="O54" i="10"/>
  <c r="O45" i="10"/>
  <c r="O28" i="10"/>
  <c r="O15" i="10"/>
  <c r="O156" i="10"/>
  <c r="M155" i="10"/>
  <c r="M143" i="10"/>
  <c r="M124" i="10"/>
  <c r="M106" i="10"/>
  <c r="M82" i="10"/>
  <c r="M69" i="10"/>
  <c r="M54" i="10"/>
  <c r="M45" i="10"/>
  <c r="M28" i="10"/>
  <c r="M15" i="10"/>
  <c r="M156" i="10"/>
  <c r="K155" i="10"/>
  <c r="K143" i="10"/>
  <c r="K124" i="10"/>
  <c r="K106" i="10"/>
  <c r="K82" i="10"/>
  <c r="K69" i="10"/>
  <c r="K54" i="10"/>
  <c r="K45" i="10"/>
  <c r="K28" i="10"/>
  <c r="K15" i="10"/>
  <c r="K156" i="10"/>
  <c r="I155" i="10"/>
  <c r="I143" i="10"/>
  <c r="I124" i="10"/>
  <c r="I106" i="10"/>
  <c r="I82" i="10"/>
  <c r="I69" i="10"/>
  <c r="I54" i="10"/>
  <c r="I45" i="10"/>
  <c r="I28" i="10"/>
  <c r="I15" i="10"/>
  <c r="I156" i="10"/>
  <c r="G155" i="10"/>
  <c r="G143" i="10"/>
  <c r="G124" i="10"/>
  <c r="G106" i="10"/>
  <c r="G82" i="10"/>
  <c r="G69" i="10"/>
  <c r="G54" i="10"/>
  <c r="G45" i="10"/>
  <c r="G28" i="10"/>
  <c r="G15" i="10"/>
  <c r="G156" i="10"/>
  <c r="E155" i="10"/>
  <c r="E143" i="10"/>
  <c r="E124" i="10"/>
  <c r="E106" i="10"/>
  <c r="E82" i="10"/>
  <c r="E69" i="10"/>
  <c r="E54" i="10"/>
  <c r="E45" i="10"/>
  <c r="E28" i="10"/>
  <c r="E15" i="10"/>
  <c r="E156" i="10"/>
  <c r="D155" i="10"/>
  <c r="D143" i="10"/>
  <c r="D124" i="10"/>
  <c r="D106" i="10"/>
  <c r="D82" i="10"/>
  <c r="D69" i="10"/>
  <c r="D54" i="10"/>
  <c r="D45" i="10"/>
  <c r="D28" i="10"/>
  <c r="D15" i="10"/>
  <c r="D156" i="10"/>
  <c r="T153" i="10"/>
  <c r="R153" i="10"/>
  <c r="P153" i="10"/>
  <c r="N153" i="10"/>
  <c r="L153" i="10"/>
  <c r="J153" i="10"/>
  <c r="H153" i="10"/>
  <c r="F153" i="10"/>
  <c r="B18" i="10"/>
  <c r="B19" i="10"/>
  <c r="B20" i="10"/>
  <c r="B21" i="10"/>
  <c r="B22" i="10"/>
  <c r="B23" i="10"/>
  <c r="B24" i="10"/>
  <c r="B25" i="10"/>
  <c r="B26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7" i="10"/>
  <c r="B48" i="10"/>
  <c r="B49" i="10"/>
  <c r="B50" i="10"/>
  <c r="B51" i="10"/>
  <c r="B52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71" i="10"/>
  <c r="B72" i="10"/>
  <c r="B73" i="10"/>
  <c r="B74" i="10"/>
  <c r="B75" i="10"/>
  <c r="B76" i="10"/>
  <c r="B77" i="10"/>
  <c r="B78" i="10"/>
  <c r="B79" i="10"/>
  <c r="B80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5" i="10"/>
  <c r="B146" i="10"/>
  <c r="B147" i="10"/>
  <c r="B148" i="10"/>
  <c r="B149" i="10"/>
  <c r="B150" i="10"/>
  <c r="B151" i="10"/>
  <c r="B152" i="10"/>
  <c r="B153" i="10"/>
  <c r="T152" i="10"/>
  <c r="R152" i="10"/>
  <c r="P152" i="10"/>
  <c r="N152" i="10"/>
  <c r="L152" i="10"/>
  <c r="J152" i="10"/>
  <c r="H152" i="10"/>
  <c r="F152" i="10"/>
  <c r="T151" i="10"/>
  <c r="R151" i="10"/>
  <c r="P151" i="10"/>
  <c r="N151" i="10"/>
  <c r="L151" i="10"/>
  <c r="J151" i="10"/>
  <c r="H151" i="10"/>
  <c r="F151" i="10"/>
  <c r="T150" i="10"/>
  <c r="R150" i="10"/>
  <c r="P150" i="10"/>
  <c r="N150" i="10"/>
  <c r="L150" i="10"/>
  <c r="J150" i="10"/>
  <c r="H150" i="10"/>
  <c r="F150" i="10"/>
  <c r="T149" i="10"/>
  <c r="R149" i="10"/>
  <c r="P149" i="10"/>
  <c r="N149" i="10"/>
  <c r="L149" i="10"/>
  <c r="J149" i="10"/>
  <c r="H149" i="10"/>
  <c r="F149" i="10"/>
  <c r="T148" i="10"/>
  <c r="R148" i="10"/>
  <c r="P148" i="10"/>
  <c r="N148" i="10"/>
  <c r="L148" i="10"/>
  <c r="J148" i="10"/>
  <c r="H148" i="10"/>
  <c r="F148" i="10"/>
  <c r="T147" i="10"/>
  <c r="R147" i="10"/>
  <c r="P147" i="10"/>
  <c r="N147" i="10"/>
  <c r="L147" i="10"/>
  <c r="J147" i="10"/>
  <c r="H147" i="10"/>
  <c r="F147" i="10"/>
  <c r="T146" i="10"/>
  <c r="R146" i="10"/>
  <c r="P146" i="10"/>
  <c r="N146" i="10"/>
  <c r="L146" i="10"/>
  <c r="J146" i="10"/>
  <c r="H146" i="10"/>
  <c r="F146" i="10"/>
  <c r="T145" i="10"/>
  <c r="R145" i="10"/>
  <c r="P145" i="10"/>
  <c r="N145" i="10"/>
  <c r="L145" i="10"/>
  <c r="J145" i="10"/>
  <c r="H145" i="10"/>
  <c r="F145" i="10"/>
  <c r="T141" i="10"/>
  <c r="R141" i="10"/>
  <c r="P141" i="10"/>
  <c r="N141" i="10"/>
  <c r="L141" i="10"/>
  <c r="J141" i="10"/>
  <c r="H141" i="10"/>
  <c r="F141" i="10"/>
  <c r="T140" i="10"/>
  <c r="R140" i="10"/>
  <c r="P140" i="10"/>
  <c r="N140" i="10"/>
  <c r="L140" i="10"/>
  <c r="J140" i="10"/>
  <c r="H140" i="10"/>
  <c r="F140" i="10"/>
  <c r="T139" i="10"/>
  <c r="R139" i="10"/>
  <c r="P139" i="10"/>
  <c r="N139" i="10"/>
  <c r="L139" i="10"/>
  <c r="J139" i="10"/>
  <c r="H139" i="10"/>
  <c r="F139" i="10"/>
  <c r="T138" i="10"/>
  <c r="R138" i="10"/>
  <c r="P138" i="10"/>
  <c r="N138" i="10"/>
  <c r="L138" i="10"/>
  <c r="J138" i="10"/>
  <c r="H138" i="10"/>
  <c r="F138" i="10"/>
  <c r="T137" i="10"/>
  <c r="R137" i="10"/>
  <c r="P137" i="10"/>
  <c r="N137" i="10"/>
  <c r="L137" i="10"/>
  <c r="J137" i="10"/>
  <c r="H137" i="10"/>
  <c r="F137" i="10"/>
  <c r="T136" i="10"/>
  <c r="R136" i="10"/>
  <c r="P136" i="10"/>
  <c r="N136" i="10"/>
  <c r="L136" i="10"/>
  <c r="J136" i="10"/>
  <c r="H136" i="10"/>
  <c r="F136" i="10"/>
  <c r="T135" i="10"/>
  <c r="R135" i="10"/>
  <c r="P135" i="10"/>
  <c r="N135" i="10"/>
  <c r="L135" i="10"/>
  <c r="J135" i="10"/>
  <c r="H135" i="10"/>
  <c r="F135" i="10"/>
  <c r="T134" i="10"/>
  <c r="R134" i="10"/>
  <c r="P134" i="10"/>
  <c r="N134" i="10"/>
  <c r="L134" i="10"/>
  <c r="J134" i="10"/>
  <c r="H134" i="10"/>
  <c r="F134" i="10"/>
  <c r="T133" i="10"/>
  <c r="R133" i="10"/>
  <c r="P133" i="10"/>
  <c r="N133" i="10"/>
  <c r="L133" i="10"/>
  <c r="J133" i="10"/>
  <c r="H133" i="10"/>
  <c r="F133" i="10"/>
  <c r="T132" i="10"/>
  <c r="R132" i="10"/>
  <c r="P132" i="10"/>
  <c r="N132" i="10"/>
  <c r="L132" i="10"/>
  <c r="J132" i="10"/>
  <c r="H132" i="10"/>
  <c r="F132" i="10"/>
  <c r="T131" i="10"/>
  <c r="R131" i="10"/>
  <c r="P131" i="10"/>
  <c r="N131" i="10"/>
  <c r="L131" i="10"/>
  <c r="J131" i="10"/>
  <c r="H131" i="10"/>
  <c r="F131" i="10"/>
  <c r="T130" i="10"/>
  <c r="R130" i="10"/>
  <c r="P130" i="10"/>
  <c r="N130" i="10"/>
  <c r="L130" i="10"/>
  <c r="J130" i="10"/>
  <c r="H130" i="10"/>
  <c r="F130" i="10"/>
  <c r="T129" i="10"/>
  <c r="R129" i="10"/>
  <c r="P129" i="10"/>
  <c r="N129" i="10"/>
  <c r="L129" i="10"/>
  <c r="J129" i="10"/>
  <c r="H129" i="10"/>
  <c r="F129" i="10"/>
  <c r="T128" i="10"/>
  <c r="R128" i="10"/>
  <c r="P128" i="10"/>
  <c r="N128" i="10"/>
  <c r="L128" i="10"/>
  <c r="J128" i="10"/>
  <c r="H128" i="10"/>
  <c r="F128" i="10"/>
  <c r="T127" i="10"/>
  <c r="R127" i="10"/>
  <c r="P127" i="10"/>
  <c r="N127" i="10"/>
  <c r="L127" i="10"/>
  <c r="J127" i="10"/>
  <c r="H127" i="10"/>
  <c r="F127" i="10"/>
  <c r="T126" i="10"/>
  <c r="R126" i="10"/>
  <c r="P126" i="10"/>
  <c r="N126" i="10"/>
  <c r="L126" i="10"/>
  <c r="J126" i="10"/>
  <c r="H126" i="10"/>
  <c r="F126" i="10"/>
  <c r="T122" i="10"/>
  <c r="R122" i="10"/>
  <c r="P122" i="10"/>
  <c r="N122" i="10"/>
  <c r="L122" i="10"/>
  <c r="J122" i="10"/>
  <c r="H122" i="10"/>
  <c r="F122" i="10"/>
  <c r="T121" i="10"/>
  <c r="R121" i="10"/>
  <c r="P121" i="10"/>
  <c r="N121" i="10"/>
  <c r="L121" i="10"/>
  <c r="J121" i="10"/>
  <c r="H121" i="10"/>
  <c r="F121" i="10"/>
  <c r="T120" i="10"/>
  <c r="R120" i="10"/>
  <c r="P120" i="10"/>
  <c r="N120" i="10"/>
  <c r="L120" i="10"/>
  <c r="J120" i="10"/>
  <c r="H120" i="10"/>
  <c r="F120" i="10"/>
  <c r="T119" i="10"/>
  <c r="R119" i="10"/>
  <c r="P119" i="10"/>
  <c r="N119" i="10"/>
  <c r="L119" i="10"/>
  <c r="J119" i="10"/>
  <c r="H119" i="10"/>
  <c r="F119" i="10"/>
  <c r="T118" i="10"/>
  <c r="R118" i="10"/>
  <c r="P118" i="10"/>
  <c r="N118" i="10"/>
  <c r="L118" i="10"/>
  <c r="J118" i="10"/>
  <c r="H118" i="10"/>
  <c r="F118" i="10"/>
  <c r="T117" i="10"/>
  <c r="R117" i="10"/>
  <c r="P117" i="10"/>
  <c r="N117" i="10"/>
  <c r="L117" i="10"/>
  <c r="J117" i="10"/>
  <c r="H117" i="10"/>
  <c r="F117" i="10"/>
  <c r="T116" i="10"/>
  <c r="R116" i="10"/>
  <c r="P116" i="10"/>
  <c r="N116" i="10"/>
  <c r="L116" i="10"/>
  <c r="J116" i="10"/>
  <c r="H116" i="10"/>
  <c r="F116" i="10"/>
  <c r="T115" i="10"/>
  <c r="R115" i="10"/>
  <c r="P115" i="10"/>
  <c r="N115" i="10"/>
  <c r="L115" i="10"/>
  <c r="J115" i="10"/>
  <c r="H115" i="10"/>
  <c r="F115" i="10"/>
  <c r="T114" i="10"/>
  <c r="R114" i="10"/>
  <c r="P114" i="10"/>
  <c r="N114" i="10"/>
  <c r="L114" i="10"/>
  <c r="J114" i="10"/>
  <c r="H114" i="10"/>
  <c r="F114" i="10"/>
  <c r="T113" i="10"/>
  <c r="R113" i="10"/>
  <c r="P113" i="10"/>
  <c r="N113" i="10"/>
  <c r="L113" i="10"/>
  <c r="J113" i="10"/>
  <c r="H113" i="10"/>
  <c r="F113" i="10"/>
  <c r="T112" i="10"/>
  <c r="R112" i="10"/>
  <c r="P112" i="10"/>
  <c r="N112" i="10"/>
  <c r="L112" i="10"/>
  <c r="J112" i="10"/>
  <c r="H112" i="10"/>
  <c r="F112" i="10"/>
  <c r="T111" i="10"/>
  <c r="R111" i="10"/>
  <c r="P111" i="10"/>
  <c r="N111" i="10"/>
  <c r="L111" i="10"/>
  <c r="J111" i="10"/>
  <c r="H111" i="10"/>
  <c r="F111" i="10"/>
  <c r="T110" i="10"/>
  <c r="R110" i="10"/>
  <c r="P110" i="10"/>
  <c r="N110" i="10"/>
  <c r="L110" i="10"/>
  <c r="J110" i="10"/>
  <c r="H110" i="10"/>
  <c r="F110" i="10"/>
  <c r="T109" i="10"/>
  <c r="R109" i="10"/>
  <c r="P109" i="10"/>
  <c r="N109" i="10"/>
  <c r="L109" i="10"/>
  <c r="J109" i="10"/>
  <c r="H109" i="10"/>
  <c r="F109" i="10"/>
  <c r="T108" i="10"/>
  <c r="R108" i="10"/>
  <c r="P108" i="10"/>
  <c r="N108" i="10"/>
  <c r="L108" i="10"/>
  <c r="J108" i="10"/>
  <c r="H108" i="10"/>
  <c r="F108" i="10"/>
  <c r="T104" i="10"/>
  <c r="R104" i="10"/>
  <c r="P104" i="10"/>
  <c r="N104" i="10"/>
  <c r="L104" i="10"/>
  <c r="J104" i="10"/>
  <c r="H104" i="10"/>
  <c r="F104" i="10"/>
  <c r="T103" i="10"/>
  <c r="R103" i="10"/>
  <c r="P103" i="10"/>
  <c r="N103" i="10"/>
  <c r="L103" i="10"/>
  <c r="J103" i="10"/>
  <c r="H103" i="10"/>
  <c r="F103" i="10"/>
  <c r="T102" i="10"/>
  <c r="R102" i="10"/>
  <c r="P102" i="10"/>
  <c r="N102" i="10"/>
  <c r="L102" i="10"/>
  <c r="J102" i="10"/>
  <c r="H102" i="10"/>
  <c r="F102" i="10"/>
  <c r="T101" i="10"/>
  <c r="R101" i="10"/>
  <c r="P101" i="10"/>
  <c r="N101" i="10"/>
  <c r="L101" i="10"/>
  <c r="J101" i="10"/>
  <c r="H101" i="10"/>
  <c r="F101" i="10"/>
  <c r="T100" i="10"/>
  <c r="R100" i="10"/>
  <c r="P100" i="10"/>
  <c r="N100" i="10"/>
  <c r="L100" i="10"/>
  <c r="J100" i="10"/>
  <c r="H100" i="10"/>
  <c r="F100" i="10"/>
  <c r="T99" i="10"/>
  <c r="R99" i="10"/>
  <c r="P99" i="10"/>
  <c r="N99" i="10"/>
  <c r="L99" i="10"/>
  <c r="J99" i="10"/>
  <c r="H99" i="10"/>
  <c r="F99" i="10"/>
  <c r="T98" i="10"/>
  <c r="R98" i="10"/>
  <c r="P98" i="10"/>
  <c r="N98" i="10"/>
  <c r="L98" i="10"/>
  <c r="J98" i="10"/>
  <c r="H98" i="10"/>
  <c r="F98" i="10"/>
  <c r="T97" i="10"/>
  <c r="R97" i="10"/>
  <c r="P97" i="10"/>
  <c r="N97" i="10"/>
  <c r="L97" i="10"/>
  <c r="J97" i="10"/>
  <c r="H97" i="10"/>
  <c r="F97" i="10"/>
  <c r="T96" i="10"/>
  <c r="R96" i="10"/>
  <c r="P96" i="10"/>
  <c r="N96" i="10"/>
  <c r="L96" i="10"/>
  <c r="J96" i="10"/>
  <c r="H96" i="10"/>
  <c r="F96" i="10"/>
  <c r="T95" i="10"/>
  <c r="R95" i="10"/>
  <c r="P95" i="10"/>
  <c r="N95" i="10"/>
  <c r="L95" i="10"/>
  <c r="J95" i="10"/>
  <c r="H95" i="10"/>
  <c r="F95" i="10"/>
  <c r="T94" i="10"/>
  <c r="R94" i="10"/>
  <c r="P94" i="10"/>
  <c r="N94" i="10"/>
  <c r="L94" i="10"/>
  <c r="J94" i="10"/>
  <c r="H94" i="10"/>
  <c r="F94" i="10"/>
  <c r="T93" i="10"/>
  <c r="R93" i="10"/>
  <c r="P93" i="10"/>
  <c r="N93" i="10"/>
  <c r="L93" i="10"/>
  <c r="J93" i="10"/>
  <c r="H93" i="10"/>
  <c r="F93" i="10"/>
  <c r="T92" i="10"/>
  <c r="R92" i="10"/>
  <c r="P92" i="10"/>
  <c r="N92" i="10"/>
  <c r="L92" i="10"/>
  <c r="J92" i="10"/>
  <c r="H92" i="10"/>
  <c r="F92" i="10"/>
  <c r="T91" i="10"/>
  <c r="R91" i="10"/>
  <c r="P91" i="10"/>
  <c r="N91" i="10"/>
  <c r="L91" i="10"/>
  <c r="J91" i="10"/>
  <c r="H91" i="10"/>
  <c r="F91" i="10"/>
  <c r="T90" i="10"/>
  <c r="R90" i="10"/>
  <c r="P90" i="10"/>
  <c r="N90" i="10"/>
  <c r="L90" i="10"/>
  <c r="J90" i="10"/>
  <c r="H90" i="10"/>
  <c r="F90" i="10"/>
  <c r="T89" i="10"/>
  <c r="R89" i="10"/>
  <c r="P89" i="10"/>
  <c r="N89" i="10"/>
  <c r="L89" i="10"/>
  <c r="J89" i="10"/>
  <c r="H89" i="10"/>
  <c r="F89" i="10"/>
  <c r="T88" i="10"/>
  <c r="R88" i="10"/>
  <c r="P88" i="10"/>
  <c r="N88" i="10"/>
  <c r="L88" i="10"/>
  <c r="J88" i="10"/>
  <c r="H88" i="10"/>
  <c r="F88" i="10"/>
  <c r="T87" i="10"/>
  <c r="R87" i="10"/>
  <c r="P87" i="10"/>
  <c r="N87" i="10"/>
  <c r="L87" i="10"/>
  <c r="J87" i="10"/>
  <c r="H87" i="10"/>
  <c r="F87" i="10"/>
  <c r="T86" i="10"/>
  <c r="R86" i="10"/>
  <c r="P86" i="10"/>
  <c r="N86" i="10"/>
  <c r="L86" i="10"/>
  <c r="J86" i="10"/>
  <c r="H86" i="10"/>
  <c r="F86" i="10"/>
  <c r="T85" i="10"/>
  <c r="R85" i="10"/>
  <c r="P85" i="10"/>
  <c r="N85" i="10"/>
  <c r="L85" i="10"/>
  <c r="J85" i="10"/>
  <c r="H85" i="10"/>
  <c r="F85" i="10"/>
  <c r="T84" i="10"/>
  <c r="R84" i="10"/>
  <c r="P84" i="10"/>
  <c r="N84" i="10"/>
  <c r="L84" i="10"/>
  <c r="J84" i="10"/>
  <c r="H84" i="10"/>
  <c r="F84" i="10"/>
  <c r="T80" i="10"/>
  <c r="R80" i="10"/>
  <c r="P80" i="10"/>
  <c r="N80" i="10"/>
  <c r="L80" i="10"/>
  <c r="J80" i="10"/>
  <c r="H80" i="10"/>
  <c r="F80" i="10"/>
  <c r="T79" i="10"/>
  <c r="R79" i="10"/>
  <c r="P79" i="10"/>
  <c r="N79" i="10"/>
  <c r="L79" i="10"/>
  <c r="J79" i="10"/>
  <c r="H79" i="10"/>
  <c r="F79" i="10"/>
  <c r="T78" i="10"/>
  <c r="R78" i="10"/>
  <c r="P78" i="10"/>
  <c r="N78" i="10"/>
  <c r="L78" i="10"/>
  <c r="J78" i="10"/>
  <c r="H78" i="10"/>
  <c r="F78" i="10"/>
  <c r="T77" i="10"/>
  <c r="R77" i="10"/>
  <c r="P77" i="10"/>
  <c r="N77" i="10"/>
  <c r="L77" i="10"/>
  <c r="J77" i="10"/>
  <c r="H77" i="10"/>
  <c r="F77" i="10"/>
  <c r="T76" i="10"/>
  <c r="R76" i="10"/>
  <c r="P76" i="10"/>
  <c r="N76" i="10"/>
  <c r="L76" i="10"/>
  <c r="J76" i="10"/>
  <c r="H76" i="10"/>
  <c r="F76" i="10"/>
  <c r="T75" i="10"/>
  <c r="R75" i="10"/>
  <c r="P75" i="10"/>
  <c r="N75" i="10"/>
  <c r="L75" i="10"/>
  <c r="J75" i="10"/>
  <c r="H75" i="10"/>
  <c r="F75" i="10"/>
  <c r="T74" i="10"/>
  <c r="R74" i="10"/>
  <c r="P74" i="10"/>
  <c r="N74" i="10"/>
  <c r="L74" i="10"/>
  <c r="J74" i="10"/>
  <c r="H74" i="10"/>
  <c r="F74" i="10"/>
  <c r="T73" i="10"/>
  <c r="R73" i="10"/>
  <c r="P73" i="10"/>
  <c r="N73" i="10"/>
  <c r="L73" i="10"/>
  <c r="J73" i="10"/>
  <c r="H73" i="10"/>
  <c r="F73" i="10"/>
  <c r="T72" i="10"/>
  <c r="R72" i="10"/>
  <c r="P72" i="10"/>
  <c r="N72" i="10"/>
  <c r="L72" i="10"/>
  <c r="J72" i="10"/>
  <c r="H72" i="10"/>
  <c r="F72" i="10"/>
  <c r="T71" i="10"/>
  <c r="R71" i="10"/>
  <c r="P71" i="10"/>
  <c r="N71" i="10"/>
  <c r="L71" i="10"/>
  <c r="J71" i="10"/>
  <c r="H71" i="10"/>
  <c r="F71" i="10"/>
  <c r="T67" i="10"/>
  <c r="R67" i="10"/>
  <c r="P67" i="10"/>
  <c r="N67" i="10"/>
  <c r="L67" i="10"/>
  <c r="J67" i="10"/>
  <c r="H67" i="10"/>
  <c r="F67" i="10"/>
  <c r="T66" i="10"/>
  <c r="R66" i="10"/>
  <c r="P66" i="10"/>
  <c r="N66" i="10"/>
  <c r="L66" i="10"/>
  <c r="J66" i="10"/>
  <c r="H66" i="10"/>
  <c r="F66" i="10"/>
  <c r="T65" i="10"/>
  <c r="R65" i="10"/>
  <c r="P65" i="10"/>
  <c r="N65" i="10"/>
  <c r="L65" i="10"/>
  <c r="J65" i="10"/>
  <c r="H65" i="10"/>
  <c r="F65" i="10"/>
  <c r="T64" i="10"/>
  <c r="R64" i="10"/>
  <c r="P64" i="10"/>
  <c r="N64" i="10"/>
  <c r="L64" i="10"/>
  <c r="J64" i="10"/>
  <c r="H64" i="10"/>
  <c r="F64" i="10"/>
  <c r="T63" i="10"/>
  <c r="R63" i="10"/>
  <c r="P63" i="10"/>
  <c r="N63" i="10"/>
  <c r="L63" i="10"/>
  <c r="J63" i="10"/>
  <c r="H63" i="10"/>
  <c r="F63" i="10"/>
  <c r="T62" i="10"/>
  <c r="R62" i="10"/>
  <c r="P62" i="10"/>
  <c r="N62" i="10"/>
  <c r="L62" i="10"/>
  <c r="J62" i="10"/>
  <c r="H62" i="10"/>
  <c r="F62" i="10"/>
  <c r="T61" i="10"/>
  <c r="R61" i="10"/>
  <c r="P61" i="10"/>
  <c r="N61" i="10"/>
  <c r="L61" i="10"/>
  <c r="J61" i="10"/>
  <c r="H61" i="10"/>
  <c r="F61" i="10"/>
  <c r="T60" i="10"/>
  <c r="R60" i="10"/>
  <c r="P60" i="10"/>
  <c r="N60" i="10"/>
  <c r="L60" i="10"/>
  <c r="J60" i="10"/>
  <c r="H60" i="10"/>
  <c r="F60" i="10"/>
  <c r="T59" i="10"/>
  <c r="R59" i="10"/>
  <c r="P59" i="10"/>
  <c r="N59" i="10"/>
  <c r="L59" i="10"/>
  <c r="J59" i="10"/>
  <c r="H59" i="10"/>
  <c r="F59" i="10"/>
  <c r="T58" i="10"/>
  <c r="R58" i="10"/>
  <c r="P58" i="10"/>
  <c r="N58" i="10"/>
  <c r="L58" i="10"/>
  <c r="J58" i="10"/>
  <c r="H58" i="10"/>
  <c r="F58" i="10"/>
  <c r="T57" i="10"/>
  <c r="R57" i="10"/>
  <c r="P57" i="10"/>
  <c r="N57" i="10"/>
  <c r="L57" i="10"/>
  <c r="J57" i="10"/>
  <c r="H57" i="10"/>
  <c r="F57" i="10"/>
  <c r="T56" i="10"/>
  <c r="R56" i="10"/>
  <c r="P56" i="10"/>
  <c r="N56" i="10"/>
  <c r="L56" i="10"/>
  <c r="J56" i="10"/>
  <c r="H56" i="10"/>
  <c r="F56" i="10"/>
  <c r="T52" i="10"/>
  <c r="R52" i="10"/>
  <c r="P52" i="10"/>
  <c r="N52" i="10"/>
  <c r="L52" i="10"/>
  <c r="J52" i="10"/>
  <c r="H52" i="10"/>
  <c r="F52" i="10"/>
  <c r="T51" i="10"/>
  <c r="R51" i="10"/>
  <c r="P51" i="10"/>
  <c r="N51" i="10"/>
  <c r="L51" i="10"/>
  <c r="J51" i="10"/>
  <c r="H51" i="10"/>
  <c r="F51" i="10"/>
  <c r="T50" i="10"/>
  <c r="R50" i="10"/>
  <c r="P50" i="10"/>
  <c r="N50" i="10"/>
  <c r="L50" i="10"/>
  <c r="J50" i="10"/>
  <c r="H50" i="10"/>
  <c r="F50" i="10"/>
  <c r="T49" i="10"/>
  <c r="R49" i="10"/>
  <c r="P49" i="10"/>
  <c r="N49" i="10"/>
  <c r="L49" i="10"/>
  <c r="J49" i="10"/>
  <c r="H49" i="10"/>
  <c r="F49" i="10"/>
  <c r="T48" i="10"/>
  <c r="R48" i="10"/>
  <c r="P48" i="10"/>
  <c r="N48" i="10"/>
  <c r="L48" i="10"/>
  <c r="J48" i="10"/>
  <c r="H48" i="10"/>
  <c r="F48" i="10"/>
  <c r="T47" i="10"/>
  <c r="R47" i="10"/>
  <c r="P47" i="10"/>
  <c r="N47" i="10"/>
  <c r="L47" i="10"/>
  <c r="J47" i="10"/>
  <c r="H47" i="10"/>
  <c r="F47" i="10"/>
  <c r="T43" i="10"/>
  <c r="R43" i="10"/>
  <c r="P43" i="10"/>
  <c r="N43" i="10"/>
  <c r="L43" i="10"/>
  <c r="J43" i="10"/>
  <c r="H43" i="10"/>
  <c r="F43" i="10"/>
  <c r="T42" i="10"/>
  <c r="R42" i="10"/>
  <c r="P42" i="10"/>
  <c r="N42" i="10"/>
  <c r="L42" i="10"/>
  <c r="J42" i="10"/>
  <c r="H42" i="10"/>
  <c r="F42" i="10"/>
  <c r="T41" i="10"/>
  <c r="R41" i="10"/>
  <c r="P41" i="10"/>
  <c r="N41" i="10"/>
  <c r="L41" i="10"/>
  <c r="J41" i="10"/>
  <c r="H41" i="10"/>
  <c r="F41" i="10"/>
  <c r="T40" i="10"/>
  <c r="R40" i="10"/>
  <c r="P40" i="10"/>
  <c r="N40" i="10"/>
  <c r="L40" i="10"/>
  <c r="J40" i="10"/>
  <c r="H40" i="10"/>
  <c r="F40" i="10"/>
  <c r="T39" i="10"/>
  <c r="R39" i="10"/>
  <c r="P39" i="10"/>
  <c r="N39" i="10"/>
  <c r="L39" i="10"/>
  <c r="J39" i="10"/>
  <c r="H39" i="10"/>
  <c r="F39" i="10"/>
  <c r="T38" i="10"/>
  <c r="R38" i="10"/>
  <c r="P38" i="10"/>
  <c r="N38" i="10"/>
  <c r="L38" i="10"/>
  <c r="J38" i="10"/>
  <c r="H38" i="10"/>
  <c r="F38" i="10"/>
  <c r="T37" i="10"/>
  <c r="R37" i="10"/>
  <c r="P37" i="10"/>
  <c r="N37" i="10"/>
  <c r="L37" i="10"/>
  <c r="J37" i="10"/>
  <c r="H37" i="10"/>
  <c r="F37" i="10"/>
  <c r="T36" i="10"/>
  <c r="R36" i="10"/>
  <c r="P36" i="10"/>
  <c r="N36" i="10"/>
  <c r="L36" i="10"/>
  <c r="J36" i="10"/>
  <c r="H36" i="10"/>
  <c r="F36" i="10"/>
  <c r="T35" i="10"/>
  <c r="R35" i="10"/>
  <c r="P35" i="10"/>
  <c r="N35" i="10"/>
  <c r="L35" i="10"/>
  <c r="J35" i="10"/>
  <c r="H35" i="10"/>
  <c r="F35" i="10"/>
  <c r="T34" i="10"/>
  <c r="R34" i="10"/>
  <c r="P34" i="10"/>
  <c r="N34" i="10"/>
  <c r="L34" i="10"/>
  <c r="J34" i="10"/>
  <c r="H34" i="10"/>
  <c r="F34" i="10"/>
  <c r="T33" i="10"/>
  <c r="R33" i="10"/>
  <c r="P33" i="10"/>
  <c r="N33" i="10"/>
  <c r="L33" i="10"/>
  <c r="J33" i="10"/>
  <c r="H33" i="10"/>
  <c r="F33" i="10"/>
  <c r="T32" i="10"/>
  <c r="R32" i="10"/>
  <c r="P32" i="10"/>
  <c r="N32" i="10"/>
  <c r="L32" i="10"/>
  <c r="J32" i="10"/>
  <c r="H32" i="10"/>
  <c r="F32" i="10"/>
  <c r="T31" i="10"/>
  <c r="R31" i="10"/>
  <c r="P31" i="10"/>
  <c r="N31" i="10"/>
  <c r="L31" i="10"/>
  <c r="J31" i="10"/>
  <c r="H31" i="10"/>
  <c r="F31" i="10"/>
  <c r="T30" i="10"/>
  <c r="R30" i="10"/>
  <c r="P30" i="10"/>
  <c r="N30" i="10"/>
  <c r="L30" i="10"/>
  <c r="J30" i="10"/>
  <c r="H30" i="10"/>
  <c r="F30" i="10"/>
  <c r="T26" i="10"/>
  <c r="R26" i="10"/>
  <c r="P26" i="10"/>
  <c r="N26" i="10"/>
  <c r="L26" i="10"/>
  <c r="J26" i="10"/>
  <c r="H26" i="10"/>
  <c r="F26" i="10"/>
  <c r="T25" i="10"/>
  <c r="R25" i="10"/>
  <c r="P25" i="10"/>
  <c r="N25" i="10"/>
  <c r="L25" i="10"/>
  <c r="J25" i="10"/>
  <c r="H25" i="10"/>
  <c r="F25" i="10"/>
  <c r="T24" i="10"/>
  <c r="R24" i="10"/>
  <c r="P24" i="10"/>
  <c r="N24" i="10"/>
  <c r="L24" i="10"/>
  <c r="J24" i="10"/>
  <c r="H24" i="10"/>
  <c r="F24" i="10"/>
  <c r="T23" i="10"/>
  <c r="R23" i="10"/>
  <c r="P23" i="10"/>
  <c r="N23" i="10"/>
  <c r="L23" i="10"/>
  <c r="J23" i="10"/>
  <c r="H23" i="10"/>
  <c r="F23" i="10"/>
  <c r="T22" i="10"/>
  <c r="R22" i="10"/>
  <c r="P22" i="10"/>
  <c r="N22" i="10"/>
  <c r="L22" i="10"/>
  <c r="J22" i="10"/>
  <c r="H22" i="10"/>
  <c r="F22" i="10"/>
  <c r="T21" i="10"/>
  <c r="R21" i="10"/>
  <c r="P21" i="10"/>
  <c r="N21" i="10"/>
  <c r="L21" i="10"/>
  <c r="J21" i="10"/>
  <c r="H21" i="10"/>
  <c r="F21" i="10"/>
  <c r="T20" i="10"/>
  <c r="R20" i="10"/>
  <c r="P20" i="10"/>
  <c r="N20" i="10"/>
  <c r="L20" i="10"/>
  <c r="J20" i="10"/>
  <c r="H20" i="10"/>
  <c r="F20" i="10"/>
  <c r="T19" i="10"/>
  <c r="R19" i="10"/>
  <c r="P19" i="10"/>
  <c r="N19" i="10"/>
  <c r="L19" i="10"/>
  <c r="J19" i="10"/>
  <c r="H19" i="10"/>
  <c r="F19" i="10"/>
  <c r="T18" i="10"/>
  <c r="R18" i="10"/>
  <c r="P18" i="10"/>
  <c r="N18" i="10"/>
  <c r="L18" i="10"/>
  <c r="J18" i="10"/>
  <c r="H18" i="10"/>
  <c r="F18" i="10"/>
  <c r="T17" i="10"/>
  <c r="R17" i="10"/>
  <c r="P17" i="10"/>
  <c r="N17" i="10"/>
  <c r="L17" i="10"/>
  <c r="J17" i="10"/>
  <c r="H17" i="10"/>
  <c r="F17" i="10"/>
  <c r="T13" i="10"/>
  <c r="P13" i="10"/>
  <c r="N13" i="10"/>
  <c r="L13" i="10"/>
  <c r="J13" i="10"/>
  <c r="H13" i="10"/>
  <c r="F13" i="10"/>
  <c r="T12" i="10"/>
  <c r="P12" i="10"/>
  <c r="N12" i="10"/>
  <c r="L12" i="10"/>
  <c r="J12" i="10"/>
  <c r="H12" i="10"/>
  <c r="F12" i="10"/>
  <c r="T11" i="10"/>
  <c r="P11" i="10"/>
  <c r="N11" i="10"/>
  <c r="L11" i="10"/>
  <c r="J11" i="10"/>
  <c r="H11" i="10"/>
  <c r="F11" i="10"/>
  <c r="T10" i="10"/>
  <c r="P10" i="10"/>
  <c r="N10" i="10"/>
  <c r="L10" i="10"/>
  <c r="J10" i="10"/>
  <c r="H10" i="10"/>
  <c r="F10" i="10"/>
  <c r="T9" i="10"/>
  <c r="P9" i="10"/>
  <c r="N9" i="10"/>
  <c r="L9" i="10"/>
  <c r="J9" i="10"/>
  <c r="H9" i="10"/>
  <c r="F9" i="10"/>
  <c r="T8" i="10"/>
  <c r="P8" i="10"/>
  <c r="N8" i="10"/>
  <c r="L8" i="10"/>
  <c r="J8" i="10"/>
  <c r="H8" i="10"/>
  <c r="F8" i="10"/>
  <c r="T7" i="10"/>
  <c r="P7" i="10"/>
  <c r="N7" i="10"/>
  <c r="L7" i="10"/>
  <c r="J7" i="10"/>
  <c r="H7" i="10"/>
  <c r="F7" i="10"/>
  <c r="T6" i="10"/>
  <c r="P6" i="10"/>
  <c r="N6" i="10"/>
  <c r="L6" i="10"/>
  <c r="J6" i="10"/>
  <c r="H6" i="10"/>
  <c r="F6" i="10"/>
  <c r="T5" i="10"/>
  <c r="P5" i="10"/>
  <c r="N5" i="10"/>
  <c r="L5" i="10"/>
  <c r="J5" i="10"/>
  <c r="H5" i="10"/>
  <c r="F5" i="10"/>
  <c r="Q5" i="9"/>
  <c r="S5" i="9"/>
  <c r="Q6" i="9"/>
  <c r="S6" i="9"/>
  <c r="Q7" i="9"/>
  <c r="S7" i="9"/>
  <c r="Q8" i="9"/>
  <c r="S8" i="9"/>
  <c r="Q9" i="9"/>
  <c r="S9" i="9"/>
  <c r="Q10" i="9"/>
  <c r="S10" i="9"/>
  <c r="Q11" i="9"/>
  <c r="S11" i="9"/>
  <c r="Q12" i="9"/>
  <c r="S12" i="9"/>
  <c r="Q13" i="9"/>
  <c r="S13" i="9"/>
  <c r="Q14" i="9"/>
  <c r="S14" i="9"/>
  <c r="Q15" i="9"/>
  <c r="S15" i="9"/>
  <c r="Q16" i="9"/>
  <c r="S16" i="9"/>
  <c r="Q17" i="9"/>
  <c r="S17" i="9"/>
  <c r="Q18" i="9"/>
  <c r="S18" i="9"/>
  <c r="Q19" i="9"/>
  <c r="S19" i="9"/>
  <c r="S20" i="9"/>
  <c r="Q22" i="9"/>
  <c r="S22" i="9"/>
  <c r="Q23" i="9"/>
  <c r="S23" i="9"/>
  <c r="Q24" i="9"/>
  <c r="S24" i="9"/>
  <c r="Q25" i="9"/>
  <c r="S25" i="9"/>
  <c r="Q26" i="9"/>
  <c r="S26" i="9"/>
  <c r="Q27" i="9"/>
  <c r="S27" i="9"/>
  <c r="Q28" i="9"/>
  <c r="S28" i="9"/>
  <c r="Q29" i="9"/>
  <c r="S29" i="9"/>
  <c r="Q30" i="9"/>
  <c r="S30" i="9"/>
  <c r="S31" i="9"/>
  <c r="Q33" i="9"/>
  <c r="S33" i="9"/>
  <c r="Q34" i="9"/>
  <c r="S34" i="9"/>
  <c r="Q35" i="9"/>
  <c r="S35" i="9"/>
  <c r="Q36" i="9"/>
  <c r="S36" i="9"/>
  <c r="Q37" i="9"/>
  <c r="S37" i="9"/>
  <c r="Q38" i="9"/>
  <c r="S38" i="9"/>
  <c r="S39" i="9"/>
  <c r="Q41" i="9"/>
  <c r="S41" i="9"/>
  <c r="Q42" i="9"/>
  <c r="S42" i="9"/>
  <c r="Q43" i="9"/>
  <c r="S43" i="9"/>
  <c r="Q44" i="9"/>
  <c r="S44" i="9"/>
  <c r="S45" i="9"/>
  <c r="Q47" i="9"/>
  <c r="S47" i="9"/>
  <c r="Q48" i="9"/>
  <c r="S48" i="9"/>
  <c r="Q49" i="9"/>
  <c r="S49" i="9"/>
  <c r="Q50" i="9"/>
  <c r="S50" i="9"/>
  <c r="Q51" i="9"/>
  <c r="S51" i="9"/>
  <c r="Q52" i="9"/>
  <c r="S52" i="9"/>
  <c r="Q53" i="9"/>
  <c r="S53" i="9"/>
  <c r="S54" i="9"/>
  <c r="Q56" i="9"/>
  <c r="S56" i="9"/>
  <c r="Q57" i="9"/>
  <c r="S57" i="9"/>
  <c r="Q58" i="9"/>
  <c r="S58" i="9"/>
  <c r="Q59" i="9"/>
  <c r="S59" i="9"/>
  <c r="Q60" i="9"/>
  <c r="S60" i="9"/>
  <c r="Q61" i="9"/>
  <c r="S61" i="9"/>
  <c r="Q62" i="9"/>
  <c r="S62" i="9"/>
  <c r="Q63" i="9"/>
  <c r="S63" i="9"/>
  <c r="Q64" i="9"/>
  <c r="S64" i="9"/>
  <c r="Q65" i="9"/>
  <c r="S65" i="9"/>
  <c r="S66" i="9"/>
  <c r="Q68" i="9"/>
  <c r="S68" i="9"/>
  <c r="Q69" i="9"/>
  <c r="S69" i="9"/>
  <c r="Q70" i="9"/>
  <c r="S70" i="9"/>
  <c r="Q71" i="9"/>
  <c r="S71" i="9"/>
  <c r="Q72" i="9"/>
  <c r="S72" i="9"/>
  <c r="Q73" i="9"/>
  <c r="S73" i="9"/>
  <c r="Q74" i="9"/>
  <c r="S74" i="9"/>
  <c r="Q75" i="9"/>
  <c r="S75" i="9"/>
  <c r="S76" i="9"/>
  <c r="Q78" i="9"/>
  <c r="S78" i="9"/>
  <c r="Q79" i="9"/>
  <c r="S79" i="9"/>
  <c r="Q80" i="9"/>
  <c r="S80" i="9"/>
  <c r="Q81" i="9"/>
  <c r="S81" i="9"/>
  <c r="Q82" i="9"/>
  <c r="S82" i="9"/>
  <c r="S83" i="9"/>
  <c r="S84" i="9"/>
  <c r="D20" i="9"/>
  <c r="D31" i="9"/>
  <c r="D39" i="9"/>
  <c r="D45" i="9"/>
  <c r="D54" i="9"/>
  <c r="D66" i="9"/>
  <c r="D76" i="9"/>
  <c r="D83" i="9"/>
  <c r="D84" i="9"/>
  <c r="T84" i="9"/>
  <c r="Q20" i="9"/>
  <c r="Q31" i="9"/>
  <c r="Q39" i="9"/>
  <c r="Q45" i="9"/>
  <c r="Q54" i="9"/>
  <c r="Q66" i="9"/>
  <c r="Q76" i="9"/>
  <c r="Q83" i="9"/>
  <c r="Q84" i="9"/>
  <c r="R84" i="9"/>
  <c r="O20" i="9"/>
  <c r="O31" i="9"/>
  <c r="O39" i="9"/>
  <c r="O45" i="9"/>
  <c r="O54" i="9"/>
  <c r="O66" i="9"/>
  <c r="O76" i="9"/>
  <c r="O83" i="9"/>
  <c r="O84" i="9"/>
  <c r="P84" i="9"/>
  <c r="M20" i="9"/>
  <c r="M31" i="9"/>
  <c r="M39" i="9"/>
  <c r="M45" i="9"/>
  <c r="M54" i="9"/>
  <c r="M66" i="9"/>
  <c r="M76" i="9"/>
  <c r="M83" i="9"/>
  <c r="M84" i="9"/>
  <c r="N84" i="9"/>
  <c r="K20" i="9"/>
  <c r="K31" i="9"/>
  <c r="K39" i="9"/>
  <c r="K45" i="9"/>
  <c r="K54" i="9"/>
  <c r="K66" i="9"/>
  <c r="K76" i="9"/>
  <c r="K83" i="9"/>
  <c r="K84" i="9"/>
  <c r="L84" i="9"/>
  <c r="I20" i="9"/>
  <c r="I31" i="9"/>
  <c r="I39" i="9"/>
  <c r="I45" i="9"/>
  <c r="I54" i="9"/>
  <c r="I66" i="9"/>
  <c r="I76" i="9"/>
  <c r="I83" i="9"/>
  <c r="I84" i="9"/>
  <c r="J84" i="9"/>
  <c r="G20" i="9"/>
  <c r="G31" i="9"/>
  <c r="G39" i="9"/>
  <c r="G45" i="9"/>
  <c r="G54" i="9"/>
  <c r="G66" i="9"/>
  <c r="G76" i="9"/>
  <c r="G83" i="9"/>
  <c r="G84" i="9"/>
  <c r="H84" i="9"/>
  <c r="E20" i="9"/>
  <c r="E31" i="9"/>
  <c r="E39" i="9"/>
  <c r="E45" i="9"/>
  <c r="E54" i="9"/>
  <c r="E66" i="9"/>
  <c r="E76" i="9"/>
  <c r="E83" i="9"/>
  <c r="E84" i="9"/>
  <c r="F84" i="9"/>
  <c r="T83" i="9"/>
  <c r="R83" i="9"/>
  <c r="P83" i="9"/>
  <c r="N83" i="9"/>
  <c r="L83" i="9"/>
  <c r="J83" i="9"/>
  <c r="H83" i="9"/>
  <c r="F83" i="9"/>
  <c r="T82" i="9"/>
  <c r="R82" i="9"/>
  <c r="T81" i="9"/>
  <c r="R81" i="9"/>
  <c r="T80" i="9"/>
  <c r="R80" i="9"/>
  <c r="T79" i="9"/>
  <c r="R79" i="9"/>
  <c r="T78" i="9"/>
  <c r="R78" i="9"/>
  <c r="T76" i="9"/>
  <c r="R76" i="9"/>
  <c r="P76" i="9"/>
  <c r="N76" i="9"/>
  <c r="L76" i="9"/>
  <c r="J76" i="9"/>
  <c r="H76" i="9"/>
  <c r="F76" i="9"/>
  <c r="T75" i="9"/>
  <c r="R75" i="9"/>
  <c r="T74" i="9"/>
  <c r="R74" i="9"/>
  <c r="T73" i="9"/>
  <c r="R73" i="9"/>
  <c r="T72" i="9"/>
  <c r="R72" i="9"/>
  <c r="T71" i="9"/>
  <c r="R71" i="9"/>
  <c r="T70" i="9"/>
  <c r="R70" i="9"/>
  <c r="T69" i="9"/>
  <c r="R69" i="9"/>
  <c r="T68" i="9"/>
  <c r="R68" i="9"/>
  <c r="T66" i="9"/>
  <c r="R66" i="9"/>
  <c r="P66" i="9"/>
  <c r="N66" i="9"/>
  <c r="L66" i="9"/>
  <c r="J66" i="9"/>
  <c r="H66" i="9"/>
  <c r="F66" i="9"/>
  <c r="T65" i="9"/>
  <c r="R65" i="9"/>
  <c r="T64" i="9"/>
  <c r="R64" i="9"/>
  <c r="T63" i="9"/>
  <c r="R63" i="9"/>
  <c r="T62" i="9"/>
  <c r="R62" i="9"/>
  <c r="T61" i="9"/>
  <c r="R61" i="9"/>
  <c r="T60" i="9"/>
  <c r="R60" i="9"/>
  <c r="T59" i="9"/>
  <c r="R59" i="9"/>
  <c r="T58" i="9"/>
  <c r="R58" i="9"/>
  <c r="T57" i="9"/>
  <c r="R57" i="9"/>
  <c r="T56" i="9"/>
  <c r="R56" i="9"/>
  <c r="T54" i="9"/>
  <c r="R54" i="9"/>
  <c r="P54" i="9"/>
  <c r="N54" i="9"/>
  <c r="L54" i="9"/>
  <c r="J54" i="9"/>
  <c r="H54" i="9"/>
  <c r="F54" i="9"/>
  <c r="T53" i="9"/>
  <c r="R53" i="9"/>
  <c r="T52" i="9"/>
  <c r="R52" i="9"/>
  <c r="T51" i="9"/>
  <c r="R51" i="9"/>
  <c r="T50" i="9"/>
  <c r="R50" i="9"/>
  <c r="T49" i="9"/>
  <c r="R49" i="9"/>
  <c r="T48" i="9"/>
  <c r="R48" i="9"/>
  <c r="T47" i="9"/>
  <c r="R47" i="9"/>
  <c r="T45" i="9"/>
  <c r="R45" i="9"/>
  <c r="P45" i="9"/>
  <c r="N45" i="9"/>
  <c r="L45" i="9"/>
  <c r="J45" i="9"/>
  <c r="H45" i="9"/>
  <c r="F45" i="9"/>
  <c r="T44" i="9"/>
  <c r="R44" i="9"/>
  <c r="T43" i="9"/>
  <c r="R43" i="9"/>
  <c r="T42" i="9"/>
  <c r="R42" i="9"/>
  <c r="T41" i="9"/>
  <c r="R41" i="9"/>
  <c r="T39" i="9"/>
  <c r="R39" i="9"/>
  <c r="P39" i="9"/>
  <c r="N39" i="9"/>
  <c r="L39" i="9"/>
  <c r="J39" i="9"/>
  <c r="H39" i="9"/>
  <c r="F39" i="9"/>
  <c r="T38" i="9"/>
  <c r="R38" i="9"/>
  <c r="T37" i="9"/>
  <c r="R37" i="9"/>
  <c r="T36" i="9"/>
  <c r="R36" i="9"/>
  <c r="T35" i="9"/>
  <c r="R35" i="9"/>
  <c r="T34" i="9"/>
  <c r="R34" i="9"/>
  <c r="T33" i="9"/>
  <c r="R33" i="9"/>
  <c r="T31" i="9"/>
  <c r="R31" i="9"/>
  <c r="P31" i="9"/>
  <c r="N31" i="9"/>
  <c r="L31" i="9"/>
  <c r="J31" i="9"/>
  <c r="H31" i="9"/>
  <c r="F31" i="9"/>
  <c r="T30" i="9"/>
  <c r="R30" i="9"/>
  <c r="T29" i="9"/>
  <c r="R29" i="9"/>
  <c r="T28" i="9"/>
  <c r="R28" i="9"/>
  <c r="T27" i="9"/>
  <c r="R27" i="9"/>
  <c r="T26" i="9"/>
  <c r="R26" i="9"/>
  <c r="T25" i="9"/>
  <c r="R25" i="9"/>
  <c r="T24" i="9"/>
  <c r="R24" i="9"/>
  <c r="T23" i="9"/>
  <c r="R23" i="9"/>
  <c r="T22" i="9"/>
  <c r="R22" i="9"/>
  <c r="T20" i="9"/>
  <c r="R20" i="9"/>
  <c r="P20" i="9"/>
  <c r="N20" i="9"/>
  <c r="L20" i="9"/>
  <c r="J20" i="9"/>
  <c r="H20" i="9"/>
  <c r="F20" i="9"/>
  <c r="T19" i="9"/>
  <c r="R19" i="9"/>
  <c r="T18" i="9"/>
  <c r="R18" i="9"/>
  <c r="T17" i="9"/>
  <c r="R17" i="9"/>
  <c r="T16" i="9"/>
  <c r="R16" i="9"/>
  <c r="T15" i="9"/>
  <c r="R15" i="9"/>
  <c r="T14" i="9"/>
  <c r="R14" i="9"/>
  <c r="T13" i="9"/>
  <c r="R13" i="9"/>
  <c r="T12" i="9"/>
  <c r="R12" i="9"/>
  <c r="T11" i="9"/>
  <c r="R11" i="9"/>
  <c r="T10" i="9"/>
  <c r="R10" i="9"/>
  <c r="T9" i="9"/>
  <c r="R9" i="9"/>
  <c r="T8" i="9"/>
  <c r="R8" i="9"/>
  <c r="T7" i="9"/>
  <c r="R7" i="9"/>
  <c r="T6" i="9"/>
  <c r="R6" i="9"/>
  <c r="T5" i="9"/>
  <c r="R5" i="9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I30" i="8"/>
  <c r="AJ30" i="8"/>
  <c r="AK30" i="8"/>
  <c r="AL30" i="8"/>
  <c r="AM30" i="8"/>
  <c r="AI31" i="8"/>
  <c r="AJ31" i="8"/>
  <c r="AK31" i="8"/>
  <c r="AL31" i="8"/>
  <c r="AM31" i="8"/>
  <c r="AJ32" i="8"/>
  <c r="AK32" i="8"/>
  <c r="AL32" i="8"/>
  <c r="AM32" i="8"/>
  <c r="AJ33" i="8"/>
  <c r="AK33" i="8"/>
  <c r="AL33" i="8"/>
  <c r="AM33" i="8"/>
  <c r="AJ34" i="8"/>
  <c r="AK34" i="8"/>
  <c r="AL34" i="8"/>
  <c r="AM34" i="8"/>
  <c r="AJ35" i="8"/>
  <c r="AK35" i="8"/>
  <c r="AL35" i="8"/>
  <c r="AM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J47" i="8"/>
  <c r="AK47" i="8"/>
  <c r="AL47" i="8"/>
  <c r="AM47" i="8"/>
  <c r="AJ48" i="8"/>
  <c r="AK48" i="8"/>
  <c r="AL48" i="8"/>
  <c r="AM48" i="8"/>
  <c r="AJ49" i="8"/>
  <c r="AK49" i="8"/>
  <c r="AL49" i="8"/>
  <c r="AM49" i="8"/>
  <c r="AJ50" i="8"/>
  <c r="AK50" i="8"/>
  <c r="AL50" i="8"/>
  <c r="AM50" i="8"/>
  <c r="AJ51" i="8"/>
  <c r="AK51" i="8"/>
  <c r="AL51" i="8"/>
  <c r="AM51" i="8"/>
  <c r="AJ52" i="8"/>
  <c r="AK52" i="8"/>
  <c r="AL52" i="8"/>
  <c r="AM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L64" i="8"/>
  <c r="AJ65" i="8"/>
  <c r="AK65" i="8"/>
  <c r="AL65" i="8"/>
  <c r="AM65" i="8"/>
  <c r="AJ66" i="8"/>
  <c r="AK66" i="8"/>
  <c r="AL66" i="8"/>
  <c r="AM66" i="8"/>
  <c r="AJ67" i="8"/>
  <c r="AK67" i="8"/>
  <c r="AL67" i="8"/>
  <c r="AM67" i="8"/>
  <c r="AJ68" i="8"/>
  <c r="AK68" i="8"/>
  <c r="AL68" i="8"/>
  <c r="AM68" i="8"/>
  <c r="AJ69" i="8"/>
  <c r="AK69" i="8"/>
  <c r="AL69" i="8"/>
  <c r="AM69" i="8"/>
  <c r="AJ70" i="8"/>
  <c r="AK70" i="8"/>
  <c r="AL70" i="8"/>
  <c r="AM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J72" i="8"/>
  <c r="AK72" i="8"/>
  <c r="AL72" i="8"/>
  <c r="AM72" i="8"/>
  <c r="AJ73" i="8"/>
  <c r="AK73" i="8"/>
  <c r="AL73" i="8"/>
  <c r="AM73" i="8"/>
  <c r="AJ74" i="8"/>
  <c r="AK74" i="8"/>
  <c r="AL74" i="8"/>
  <c r="AM74" i="8"/>
  <c r="AJ75" i="8"/>
  <c r="AK75" i="8"/>
  <c r="AL75" i="8"/>
  <c r="AM75" i="8"/>
  <c r="AJ76" i="8"/>
  <c r="AK76" i="8"/>
  <c r="AL76" i="8"/>
  <c r="AM76" i="8"/>
  <c r="J77" i="8"/>
  <c r="S77" i="8"/>
  <c r="AJ77" i="8"/>
  <c r="AK77" i="8"/>
  <c r="AL77" i="8"/>
  <c r="AM77" i="8"/>
  <c r="J78" i="8"/>
  <c r="S78" i="8"/>
  <c r="AJ78" i="8"/>
  <c r="AK78" i="8"/>
  <c r="AL78" i="8"/>
  <c r="AM78" i="8"/>
  <c r="AJ79" i="8"/>
  <c r="AK79" i="8"/>
  <c r="AL79" i="8"/>
  <c r="AM79" i="8"/>
  <c r="J80" i="8"/>
  <c r="S80" i="8"/>
  <c r="AJ80" i="8"/>
  <c r="AK80" i="8"/>
  <c r="AL80" i="8"/>
  <c r="AM80" i="8"/>
  <c r="AJ81" i="8"/>
  <c r="AK81" i="8"/>
  <c r="AL81" i="8"/>
  <c r="AM81" i="8"/>
  <c r="AJ82" i="8"/>
  <c r="AK82" i="8"/>
  <c r="AL82" i="8"/>
  <c r="AM82" i="8"/>
  <c r="C83" i="8"/>
  <c r="D83" i="8"/>
  <c r="E83" i="8"/>
  <c r="F83" i="8"/>
  <c r="G83" i="8"/>
  <c r="H83" i="8"/>
  <c r="I83" i="8"/>
  <c r="J83" i="8"/>
  <c r="P83" i="8"/>
  <c r="Q83" i="8"/>
  <c r="R83" i="8"/>
  <c r="S83" i="8"/>
  <c r="X83" i="8"/>
  <c r="Y83" i="8"/>
  <c r="Z83" i="8"/>
  <c r="AA83" i="8"/>
  <c r="AF83" i="8"/>
  <c r="AG83" i="8"/>
  <c r="AH83" i="8"/>
  <c r="AI83" i="8"/>
  <c r="AJ83" i="8"/>
  <c r="AK83" i="8"/>
  <c r="AL83" i="8"/>
  <c r="AM83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J100" i="8"/>
  <c r="AK100" i="8"/>
  <c r="AL100" i="8"/>
  <c r="AM100" i="8"/>
  <c r="AJ101" i="8"/>
  <c r="AK101" i="8"/>
  <c r="AL101" i="8"/>
  <c r="AM101" i="8"/>
  <c r="AJ102" i="8"/>
  <c r="AK102" i="8"/>
  <c r="AL102" i="8"/>
  <c r="AM102" i="8"/>
  <c r="AJ103" i="8"/>
  <c r="AK103" i="8"/>
  <c r="AL103" i="8"/>
  <c r="AM103" i="8"/>
  <c r="AJ104" i="8"/>
  <c r="AK104" i="8"/>
  <c r="AL104" i="8"/>
  <c r="AM104" i="8"/>
  <c r="AJ105" i="8"/>
  <c r="AK105" i="8"/>
  <c r="AL105" i="8"/>
  <c r="AM105" i="8"/>
  <c r="AJ106" i="8"/>
  <c r="AK106" i="8"/>
  <c r="AL106" i="8"/>
  <c r="AM106" i="8"/>
  <c r="J107" i="8"/>
  <c r="S107" i="8"/>
  <c r="AI107" i="8"/>
  <c r="AJ107" i="8"/>
  <c r="AK107" i="8"/>
  <c r="AL107" i="8"/>
  <c r="AM107" i="8"/>
  <c r="AJ108" i="8"/>
  <c r="AK108" i="8"/>
  <c r="AL108" i="8"/>
  <c r="AM108" i="8"/>
  <c r="AJ109" i="8"/>
  <c r="AK109" i="8"/>
  <c r="AL109" i="8"/>
  <c r="AM109" i="8"/>
  <c r="I110" i="8"/>
  <c r="J110" i="8"/>
  <c r="S110" i="8"/>
  <c r="AJ110" i="8"/>
  <c r="AK110" i="8"/>
  <c r="AL110" i="8"/>
  <c r="AM110" i="8"/>
  <c r="AJ111" i="8"/>
  <c r="AK111" i="8"/>
  <c r="AL111" i="8"/>
  <c r="AM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I113" i="8"/>
  <c r="J113" i="8"/>
  <c r="R113" i="8"/>
  <c r="S113" i="8"/>
  <c r="AH113" i="8"/>
  <c r="AI113" i="8"/>
  <c r="AJ113" i="8"/>
  <c r="AK113" i="8"/>
  <c r="AL113" i="8"/>
  <c r="AM113" i="8"/>
  <c r="I114" i="8"/>
  <c r="J114" i="8"/>
  <c r="R114" i="8"/>
  <c r="S114" i="8"/>
  <c r="AH114" i="8"/>
  <c r="AI114" i="8"/>
  <c r="AJ114" i="8"/>
  <c r="AK114" i="8"/>
  <c r="AL114" i="8"/>
  <c r="AM114" i="8"/>
  <c r="I115" i="8"/>
  <c r="J115" i="8"/>
  <c r="R115" i="8"/>
  <c r="S115" i="8"/>
  <c r="AH115" i="8"/>
  <c r="AI115" i="8"/>
  <c r="AJ115" i="8"/>
  <c r="AK115" i="8"/>
  <c r="AL115" i="8"/>
  <c r="AM115" i="8"/>
  <c r="I116" i="8"/>
  <c r="J116" i="8"/>
  <c r="R116" i="8"/>
  <c r="S116" i="8"/>
  <c r="AH116" i="8"/>
  <c r="AI116" i="8"/>
  <c r="AJ116" i="8"/>
  <c r="AK116" i="8"/>
  <c r="AL116" i="8"/>
  <c r="AM116" i="8"/>
  <c r="J117" i="8"/>
  <c r="R117" i="8"/>
  <c r="S117" i="8"/>
  <c r="AH117" i="8"/>
  <c r="AI117" i="8"/>
  <c r="AJ117" i="8"/>
  <c r="AK117" i="8"/>
  <c r="AL117" i="8"/>
  <c r="AM117" i="8"/>
  <c r="I118" i="8"/>
  <c r="J118" i="8"/>
  <c r="R118" i="8"/>
  <c r="S118" i="8"/>
  <c r="AI118" i="8"/>
  <c r="AJ118" i="8"/>
  <c r="AK118" i="8"/>
  <c r="AL118" i="8"/>
  <c r="AM118" i="8"/>
  <c r="I119" i="8"/>
  <c r="J119" i="8"/>
  <c r="R119" i="8"/>
  <c r="S119" i="8"/>
  <c r="AI119" i="8"/>
  <c r="AJ119" i="8"/>
  <c r="AK119" i="8"/>
  <c r="AL119" i="8"/>
  <c r="AM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H121" i="8"/>
  <c r="S121" i="8"/>
  <c r="AJ121" i="8"/>
  <c r="AK121" i="8"/>
  <c r="AL121" i="8"/>
  <c r="AM121" i="8"/>
  <c r="H122" i="8"/>
  <c r="S122" i="8"/>
  <c r="AJ122" i="8"/>
  <c r="AK122" i="8"/>
  <c r="AL122" i="8"/>
  <c r="AM122" i="8"/>
  <c r="H123" i="8"/>
  <c r="S123" i="8"/>
  <c r="AJ123" i="8"/>
  <c r="AK123" i="8"/>
  <c r="AL123" i="8"/>
  <c r="AM123" i="8"/>
  <c r="H124" i="8"/>
  <c r="S124" i="8"/>
  <c r="AJ124" i="8"/>
  <c r="AK124" i="8"/>
  <c r="AL124" i="8"/>
  <c r="AM124" i="8"/>
  <c r="H125" i="8"/>
  <c r="S125" i="8"/>
  <c r="AJ125" i="8"/>
  <c r="AK125" i="8"/>
  <c r="AL125" i="8"/>
  <c r="AM125" i="8"/>
  <c r="H126" i="8"/>
  <c r="S126" i="8"/>
  <c r="AJ126" i="8"/>
  <c r="AK126" i="8"/>
  <c r="AL126" i="8"/>
  <c r="AM126" i="8"/>
  <c r="H127" i="8"/>
  <c r="S127" i="8"/>
  <c r="AJ127" i="8"/>
  <c r="AK127" i="8"/>
  <c r="AL127" i="8"/>
  <c r="AM127" i="8"/>
  <c r="H128" i="8"/>
  <c r="S128" i="8"/>
  <c r="AJ128" i="8"/>
  <c r="AK128" i="8"/>
  <c r="AL128" i="8"/>
  <c r="AM128" i="8"/>
  <c r="H129" i="8"/>
  <c r="S129" i="8"/>
  <c r="AJ129" i="8"/>
  <c r="AK129" i="8"/>
  <c r="AL129" i="8"/>
  <c r="AM129" i="8"/>
  <c r="H130" i="8"/>
  <c r="S130" i="8"/>
  <c r="AJ130" i="8"/>
  <c r="AK130" i="8"/>
  <c r="AL130" i="8"/>
  <c r="AM130" i="8"/>
  <c r="H131" i="8"/>
  <c r="S131" i="8"/>
  <c r="AJ131" i="8"/>
  <c r="AK131" i="8"/>
  <c r="AL131" i="8"/>
  <c r="AM131" i="8"/>
  <c r="H132" i="8"/>
  <c r="S132" i="8"/>
  <c r="AJ132" i="8"/>
  <c r="AK132" i="8"/>
  <c r="AL132" i="8"/>
  <c r="AM132" i="8"/>
  <c r="H133" i="8"/>
  <c r="S133" i="8"/>
  <c r="AJ133" i="8"/>
  <c r="AK133" i="8"/>
  <c r="AL133" i="8"/>
  <c r="AM133" i="8"/>
  <c r="H134" i="8"/>
  <c r="S134" i="8"/>
  <c r="AJ134" i="8"/>
  <c r="AK134" i="8"/>
  <c r="AL134" i="8"/>
  <c r="AM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J136" i="8"/>
  <c r="AK136" i="8"/>
  <c r="AL136" i="8"/>
  <c r="AM136" i="8"/>
  <c r="AJ137" i="8"/>
  <c r="AK137" i="8"/>
  <c r="AL137" i="8"/>
  <c r="AM137" i="8"/>
  <c r="AJ138" i="8"/>
  <c r="AK138" i="8"/>
  <c r="AL138" i="8"/>
  <c r="AM138" i="8"/>
  <c r="AJ139" i="8"/>
  <c r="AK139" i="8"/>
  <c r="AL139" i="8"/>
  <c r="AM139" i="8"/>
  <c r="R140" i="8"/>
  <c r="S140" i="8"/>
  <c r="AJ140" i="8"/>
  <c r="AK140" i="8"/>
  <c r="AL140" i="8"/>
  <c r="AM140" i="8"/>
  <c r="AJ141" i="8"/>
  <c r="AK141" i="8"/>
  <c r="AL141" i="8"/>
  <c r="AM141" i="8"/>
  <c r="AJ142" i="8"/>
  <c r="AK142" i="8"/>
  <c r="AL142" i="8"/>
  <c r="AM142" i="8"/>
  <c r="AJ143" i="8"/>
  <c r="AK143" i="8"/>
  <c r="AL143" i="8"/>
  <c r="AM143" i="8"/>
  <c r="AJ144" i="8"/>
  <c r="AK144" i="8"/>
  <c r="AL144" i="8"/>
  <c r="AM144" i="8"/>
  <c r="AJ145" i="8"/>
  <c r="AK145" i="8"/>
  <c r="AL145" i="8"/>
  <c r="AM145" i="8"/>
  <c r="AJ146" i="8"/>
  <c r="AK146" i="8"/>
  <c r="AL146" i="8"/>
  <c r="AM146" i="8"/>
  <c r="AJ147" i="8"/>
  <c r="AK147" i="8"/>
  <c r="AL147" i="8"/>
  <c r="AM147" i="8"/>
  <c r="AJ148" i="8"/>
  <c r="AK148" i="8"/>
  <c r="AL148" i="8"/>
  <c r="AM148" i="8"/>
  <c r="AJ149" i="8"/>
  <c r="AK149" i="8"/>
  <c r="AL149" i="8"/>
  <c r="AM149" i="8"/>
  <c r="AJ150" i="8"/>
  <c r="AK150" i="8"/>
  <c r="AL150" i="8"/>
  <c r="AM150" i="8"/>
  <c r="AI151" i="8"/>
  <c r="AJ151" i="8"/>
  <c r="AK151" i="8"/>
  <c r="AL151" i="8"/>
  <c r="AM151" i="8"/>
  <c r="AJ152" i="8"/>
  <c r="AK152" i="8"/>
  <c r="AL152" i="8"/>
  <c r="AM152" i="8"/>
  <c r="AJ153" i="8"/>
  <c r="AK153" i="8"/>
  <c r="AL153" i="8"/>
  <c r="AM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J185" i="8"/>
  <c r="AK185" i="8"/>
  <c r="AL185" i="8"/>
  <c r="AM185" i="8"/>
  <c r="AJ186" i="8"/>
  <c r="AK186" i="8"/>
  <c r="AL186" i="8"/>
  <c r="AM186" i="8"/>
  <c r="AJ187" i="8"/>
  <c r="AK187" i="8"/>
  <c r="AL187" i="8"/>
  <c r="AM187" i="8"/>
  <c r="AJ188" i="8"/>
  <c r="AK188" i="8"/>
  <c r="AM188" i="8"/>
  <c r="AJ189" i="8"/>
  <c r="AK189" i="8"/>
  <c r="AL189" i="8"/>
  <c r="AM189" i="8"/>
  <c r="AJ190" i="8"/>
  <c r="AK190" i="8"/>
  <c r="AL190" i="8"/>
  <c r="AM190" i="8"/>
  <c r="AJ191" i="8"/>
  <c r="AK191" i="8"/>
  <c r="AL191" i="8"/>
  <c r="AM191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C203" i="8"/>
  <c r="D203" i="8"/>
  <c r="E203" i="8"/>
  <c r="F203" i="8"/>
  <c r="G203" i="8"/>
  <c r="H203" i="8"/>
  <c r="I203" i="8"/>
  <c r="J203" i="8"/>
  <c r="P203" i="8"/>
  <c r="Q203" i="8"/>
  <c r="R203" i="8"/>
  <c r="S203" i="8"/>
  <c r="X203" i="8"/>
  <c r="AF203" i="8"/>
  <c r="AG203" i="8"/>
  <c r="AH203" i="8"/>
  <c r="AI203" i="8"/>
  <c r="AJ203" i="8"/>
  <c r="AK203" i="8"/>
  <c r="AL203" i="8"/>
  <c r="AM203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M210" i="8"/>
  <c r="AM211" i="8"/>
  <c r="AM212" i="8"/>
  <c r="AM213" i="8"/>
  <c r="AM214" i="8"/>
  <c r="AM215" i="8"/>
  <c r="AM216" i="8"/>
  <c r="AM217" i="8"/>
  <c r="AM218" i="8"/>
  <c r="AM219" i="8"/>
  <c r="AM220" i="8"/>
  <c r="AM221" i="8"/>
  <c r="AM222" i="8"/>
  <c r="AM223" i="8"/>
  <c r="AM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E100" i="6"/>
  <c r="F100" i="6"/>
  <c r="G100" i="6"/>
  <c r="H88" i="6"/>
  <c r="H89" i="6"/>
  <c r="H90" i="6"/>
  <c r="H91" i="6"/>
  <c r="H92" i="6"/>
  <c r="H93" i="6"/>
  <c r="H95" i="6"/>
  <c r="H96" i="6"/>
  <c r="H97" i="6"/>
  <c r="H98" i="6"/>
  <c r="H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88" i="6"/>
  <c r="T89" i="6"/>
  <c r="T90" i="6"/>
  <c r="T91" i="6"/>
  <c r="T92" i="6"/>
  <c r="T93" i="6"/>
  <c r="T95" i="6"/>
  <c r="T96" i="6"/>
  <c r="T97" i="6"/>
  <c r="T98" i="6"/>
  <c r="T99" i="6"/>
  <c r="T100" i="6"/>
  <c r="D100" i="6"/>
  <c r="E86" i="6"/>
  <c r="F86" i="6"/>
  <c r="G86" i="6"/>
  <c r="H79" i="6"/>
  <c r="H82" i="6"/>
  <c r="H84" i="6"/>
  <c r="H86" i="6"/>
  <c r="I86" i="6"/>
  <c r="J86" i="6"/>
  <c r="K86" i="6"/>
  <c r="L86" i="6"/>
  <c r="M86" i="6"/>
  <c r="N86" i="6"/>
  <c r="O86" i="6"/>
  <c r="P86" i="6"/>
  <c r="Q86" i="6"/>
  <c r="R86" i="6"/>
  <c r="S86" i="6"/>
  <c r="T79" i="6"/>
  <c r="T82" i="6"/>
  <c r="T84" i="6"/>
  <c r="T86" i="6"/>
  <c r="D86" i="6"/>
  <c r="E76" i="6"/>
  <c r="F76" i="6"/>
  <c r="G76" i="6"/>
  <c r="H70" i="6"/>
  <c r="H74" i="6"/>
  <c r="H75" i="6"/>
  <c r="H76" i="6"/>
  <c r="I76" i="6"/>
  <c r="J76" i="6"/>
  <c r="K76" i="6"/>
  <c r="L76" i="6"/>
  <c r="M76" i="6"/>
  <c r="N76" i="6"/>
  <c r="O76" i="6"/>
  <c r="P76" i="6"/>
  <c r="Q76" i="6"/>
  <c r="R76" i="6"/>
  <c r="S76" i="6"/>
  <c r="T70" i="6"/>
  <c r="T74" i="6"/>
  <c r="T75" i="6"/>
  <c r="T76" i="6"/>
  <c r="D76" i="6"/>
  <c r="E68" i="6"/>
  <c r="F68" i="6"/>
  <c r="G68" i="6"/>
  <c r="H56" i="6"/>
  <c r="H57" i="6"/>
  <c r="H58" i="6"/>
  <c r="H59" i="6"/>
  <c r="H61" i="6"/>
  <c r="H62" i="6"/>
  <c r="H64" i="6"/>
  <c r="H65" i="6"/>
  <c r="H67" i="6"/>
  <c r="H68" i="6"/>
  <c r="I68" i="6"/>
  <c r="J68" i="6"/>
  <c r="K68" i="6"/>
  <c r="L68" i="6"/>
  <c r="M68" i="6"/>
  <c r="N68" i="6"/>
  <c r="O68" i="6"/>
  <c r="P68" i="6"/>
  <c r="Q68" i="6"/>
  <c r="R68" i="6"/>
  <c r="S68" i="6"/>
  <c r="T56" i="6"/>
  <c r="T57" i="6"/>
  <c r="T59" i="6"/>
  <c r="T62" i="6"/>
  <c r="T64" i="6"/>
  <c r="T65" i="6"/>
  <c r="T67" i="6"/>
  <c r="T68" i="6"/>
  <c r="D68" i="6"/>
  <c r="E54" i="6"/>
  <c r="F54" i="6"/>
  <c r="G54" i="6"/>
  <c r="H45" i="6"/>
  <c r="H46" i="6"/>
  <c r="H47" i="6"/>
  <c r="H48" i="6"/>
  <c r="H49" i="6"/>
  <c r="H54" i="6"/>
  <c r="I54" i="6"/>
  <c r="J54" i="6"/>
  <c r="K54" i="6"/>
  <c r="L54" i="6"/>
  <c r="M54" i="6"/>
  <c r="N54" i="6"/>
  <c r="O54" i="6"/>
  <c r="P54" i="6"/>
  <c r="Q54" i="6"/>
  <c r="R54" i="6"/>
  <c r="S54" i="6"/>
  <c r="T45" i="6"/>
  <c r="T46" i="6"/>
  <c r="T47" i="6"/>
  <c r="T48" i="6"/>
  <c r="T49" i="6"/>
  <c r="T54" i="6"/>
  <c r="D54" i="6"/>
  <c r="E38" i="6"/>
  <c r="F38" i="6"/>
  <c r="G38" i="6"/>
  <c r="H30" i="6"/>
  <c r="H32" i="6"/>
  <c r="H35" i="6"/>
  <c r="H36" i="6"/>
  <c r="H38" i="6"/>
  <c r="I38" i="6"/>
  <c r="J38" i="6"/>
  <c r="K38" i="6"/>
  <c r="L38" i="6"/>
  <c r="M38" i="6"/>
  <c r="N38" i="6"/>
  <c r="O38" i="6"/>
  <c r="P38" i="6"/>
  <c r="Q38" i="6"/>
  <c r="R38" i="6"/>
  <c r="S38" i="6"/>
  <c r="T30" i="6"/>
  <c r="T32" i="6"/>
  <c r="T35" i="6"/>
  <c r="T36" i="6"/>
  <c r="T38" i="6"/>
  <c r="D38" i="6"/>
  <c r="E28" i="6"/>
  <c r="F28" i="6"/>
  <c r="G28" i="6"/>
  <c r="H22" i="6"/>
  <c r="H23" i="6"/>
  <c r="H25" i="6"/>
  <c r="H26" i="6"/>
  <c r="H27" i="6"/>
  <c r="H28" i="6"/>
  <c r="I28" i="6"/>
  <c r="J28" i="6"/>
  <c r="K28" i="6"/>
  <c r="L28" i="6"/>
  <c r="M28" i="6"/>
  <c r="N28" i="6"/>
  <c r="O28" i="6"/>
  <c r="P28" i="6"/>
  <c r="Q28" i="6"/>
  <c r="R28" i="6"/>
  <c r="S28" i="6"/>
  <c r="T22" i="6"/>
  <c r="T23" i="6"/>
  <c r="T25" i="6"/>
  <c r="T26" i="6"/>
  <c r="T27" i="6"/>
  <c r="T28" i="6"/>
  <c r="D28" i="6"/>
  <c r="E20" i="6"/>
  <c r="F20" i="6"/>
  <c r="G20" i="6"/>
  <c r="H5" i="6"/>
  <c r="H6" i="6"/>
  <c r="H7" i="6"/>
  <c r="H8" i="6"/>
  <c r="H9" i="6"/>
  <c r="H11" i="6"/>
  <c r="H13" i="6"/>
  <c r="H20" i="6"/>
  <c r="I20" i="6"/>
  <c r="J20" i="6"/>
  <c r="K20" i="6"/>
  <c r="L5" i="6"/>
  <c r="L20" i="6"/>
  <c r="M20" i="6"/>
  <c r="N20" i="6"/>
  <c r="O20" i="6"/>
  <c r="P20" i="6"/>
  <c r="Q20" i="6"/>
  <c r="R5" i="6"/>
  <c r="R20" i="6"/>
  <c r="S20" i="6"/>
  <c r="T5" i="6"/>
  <c r="T6" i="6"/>
  <c r="T7" i="6"/>
  <c r="T9" i="6"/>
  <c r="T11" i="6"/>
  <c r="T13" i="6"/>
  <c r="T20" i="6"/>
  <c r="U20" i="6"/>
  <c r="V20" i="6"/>
  <c r="D20" i="6"/>
  <c r="T42" i="6"/>
  <c r="H42" i="6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10" i="2"/>
  <c r="A111" i="2"/>
  <c r="A112" i="2"/>
  <c r="A113" i="2"/>
  <c r="A114" i="2"/>
  <c r="A115" i="2"/>
  <c r="A116" i="2"/>
  <c r="A102" i="2"/>
  <c r="A103" i="2"/>
  <c r="A104" i="2"/>
  <c r="A105" i="2"/>
  <c r="A106" i="2"/>
  <c r="A107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67" i="2"/>
  <c r="A68" i="2"/>
  <c r="A69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13" i="2"/>
  <c r="A14" i="2"/>
  <c r="A1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<sst xmlns="http://schemas.openxmlformats.org/spreadsheetml/2006/main" count="2185" uniqueCount="1155">
  <si>
    <r>
      <rPr>
        <b/>
        <sz val="9"/>
        <color rgb="FF000000"/>
        <rFont val="Times New Roman"/>
        <family val="1"/>
      </rPr>
      <t>No.</t>
    </r>
  </si>
  <si>
    <r>
      <rPr>
        <b/>
        <sz val="9"/>
        <color rgb="FF000000"/>
        <rFont val="Times New Roman"/>
        <family val="1"/>
      </rPr>
      <t>K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camatan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&amp;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K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 xml:space="preserve">lurahan
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Desa</t>
    </r>
  </si>
  <si>
    <t>SPAM Jaringan Perpipaan (Jiwa)</t>
  </si>
  <si>
    <t>SPAM Bukan Jaringan Perpipaan (Jiwa)</t>
  </si>
  <si>
    <r>
      <rPr>
        <b/>
        <sz val="9"/>
        <color rgb="FF000000"/>
        <rFont val="Times New Roman"/>
        <family val="1"/>
      </rPr>
      <t>Reka</t>
    </r>
    <r>
      <rPr>
        <b/>
        <sz val="9"/>
        <color rgb="FF000000"/>
        <rFont val="Times New Roman"/>
        <family val="1"/>
      </rPr>
      <t>p</t>
    </r>
    <r>
      <rPr>
        <b/>
        <sz val="9"/>
        <color rgb="FF000000"/>
        <rFont val="Times New Roman"/>
        <family val="1"/>
      </rPr>
      <t>itulasi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>k</t>
    </r>
    <r>
      <rPr>
        <b/>
        <sz val="9"/>
        <color rgb="FF000000"/>
        <rFont val="Times New Roman"/>
        <family val="1"/>
      </rPr>
      <t>ses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P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l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>y</t>
    </r>
    <r>
      <rPr>
        <b/>
        <sz val="9"/>
        <color rgb="FF000000"/>
        <rFont val="Times New Roman"/>
        <family val="1"/>
      </rPr>
      <t>anan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Air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B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rsih</t>
    </r>
  </si>
  <si>
    <r>
      <rPr>
        <b/>
        <sz val="9"/>
        <color rgb="FF000000"/>
        <rFont val="Times New Roman"/>
        <family val="1"/>
      </rPr>
      <t>Be</t>
    </r>
    <r>
      <rPr>
        <b/>
        <sz val="9"/>
        <color rgb="FF000000"/>
        <rFont val="Times New Roman"/>
        <family val="1"/>
      </rPr>
      <t>l</t>
    </r>
    <r>
      <rPr>
        <b/>
        <sz val="9"/>
        <color rgb="FF000000"/>
        <rFont val="Times New Roman"/>
        <family val="1"/>
      </rPr>
      <t>um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>d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>k</t>
    </r>
    <r>
      <rPr>
        <b/>
        <sz val="9"/>
        <color rgb="FF000000"/>
        <rFont val="Times New Roman"/>
        <family val="1"/>
      </rPr>
      <t>ses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P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l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>y</t>
    </r>
    <r>
      <rPr>
        <b/>
        <sz val="9"/>
        <color rgb="FF000000"/>
        <rFont val="Times New Roman"/>
        <family val="1"/>
      </rPr>
      <t>anan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Air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B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rsih</t>
    </r>
  </si>
  <si>
    <r>
      <rPr>
        <b/>
        <sz val="9"/>
        <color rgb="FF000000"/>
        <rFont val="Times New Roman"/>
        <family val="1"/>
      </rPr>
      <t>PDAM</t>
    </r>
  </si>
  <si>
    <r>
      <rPr>
        <b/>
        <sz val="9"/>
        <color rgb="FF000000"/>
        <rFont val="Times New Roman"/>
        <family val="1"/>
      </rPr>
      <t>P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desaan</t>
    </r>
  </si>
  <si>
    <r>
      <rPr>
        <b/>
        <sz val="9"/>
        <color rgb="FF000000"/>
        <rFont val="Times New Roman"/>
        <family val="1"/>
      </rPr>
      <t>S</t>
    </r>
    <r>
      <rPr>
        <b/>
        <sz val="9"/>
        <color rgb="FF000000"/>
        <rFont val="Times New Roman"/>
        <family val="1"/>
      </rPr>
      <t>u</t>
    </r>
    <r>
      <rPr>
        <b/>
        <sz val="9"/>
        <color rgb="FF000000"/>
        <rFont val="Times New Roman"/>
        <family val="1"/>
      </rPr>
      <t>mur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Da</t>
    </r>
    <r>
      <rPr>
        <b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>gkal</t>
    </r>
  </si>
  <si>
    <r>
      <rPr>
        <b/>
        <sz val="9"/>
        <color rgb="FF000000"/>
        <rFont val="Times New Roman"/>
        <family val="1"/>
      </rPr>
      <t>S</t>
    </r>
    <r>
      <rPr>
        <b/>
        <sz val="9"/>
        <color rgb="FF000000"/>
        <rFont val="Times New Roman"/>
        <family val="1"/>
      </rPr>
      <t>u</t>
    </r>
    <r>
      <rPr>
        <b/>
        <sz val="9"/>
        <color rgb="FF000000"/>
        <rFont val="Times New Roman"/>
        <family val="1"/>
      </rPr>
      <t>mur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Pompa</t>
    </r>
  </si>
  <si>
    <r>
      <rPr>
        <b/>
        <sz val="9"/>
        <color rgb="FF000000"/>
        <rFont val="Times New Roman"/>
        <family val="1"/>
      </rPr>
      <t>Te</t>
    </r>
    <r>
      <rPr>
        <b/>
        <sz val="9"/>
        <color rgb="FF000000"/>
        <rFont val="Times New Roman"/>
        <family val="1"/>
      </rPr>
      <t>r</t>
    </r>
    <r>
      <rPr>
        <b/>
        <sz val="9"/>
        <color rgb="FF000000"/>
        <rFont val="Times New Roman"/>
        <family val="1"/>
      </rPr>
      <t>minal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Air</t>
    </r>
  </si>
  <si>
    <r>
      <rPr>
        <b/>
        <sz val="9"/>
        <color rgb="FF000000"/>
        <rFont val="Times New Roman"/>
        <family val="1"/>
      </rPr>
      <t>Ba</t>
    </r>
    <r>
      <rPr>
        <b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>gu</t>
    </r>
    <r>
      <rPr>
        <b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>a</t>
    </r>
    <r>
      <rPr>
        <b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P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na</t>
    </r>
    <r>
      <rPr>
        <b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>gkap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Mata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Air</t>
    </r>
  </si>
  <si>
    <t xml:space="preserve">     Jiwa          </t>
  </si>
  <si>
    <t xml:space="preserve">%          </t>
  </si>
  <si>
    <t xml:space="preserve">Jiwa          </t>
  </si>
  <si>
    <t xml:space="preserve">%           </t>
  </si>
  <si>
    <t xml:space="preserve">%         </t>
  </si>
  <si>
    <t xml:space="preserve">Jiwa         </t>
  </si>
  <si>
    <t xml:space="preserve">%            </t>
  </si>
  <si>
    <t xml:space="preserve">Jiwa            </t>
  </si>
  <si>
    <t xml:space="preserve">Jiwa           </t>
  </si>
  <si>
    <t xml:space="preserve">%     </t>
  </si>
  <si>
    <r>
      <rPr>
        <sz val="9"/>
        <color rgb="FF000000"/>
        <rFont val="Times New Roman"/>
        <family val="1"/>
      </rPr>
      <t>1</t>
    </r>
  </si>
  <si>
    <t>TOTAL</t>
  </si>
  <si>
    <r>
      <rPr>
        <sz val="9"/>
        <color rgb="FF000000"/>
        <rFont val="Times New Roman"/>
        <family val="1"/>
      </rPr>
      <t>2</t>
    </r>
  </si>
  <si>
    <t>JUMLAH TOTAL</t>
  </si>
  <si>
    <t>Ketersediaan Air Baku</t>
  </si>
  <si>
    <t>Ada</t>
  </si>
  <si>
    <t>Tidak</t>
  </si>
  <si>
    <r>
      <rPr>
        <b/>
        <sz val="9"/>
        <color rgb="FF000000"/>
        <rFont val="Arial"/>
        <family val="2"/>
      </rPr>
      <t>No</t>
    </r>
  </si>
  <si>
    <r>
      <rPr>
        <b/>
        <sz val="9"/>
        <color rgb="FF000000"/>
        <rFont val="Arial"/>
        <family val="2"/>
      </rPr>
      <t>L</t>
    </r>
    <r>
      <rPr>
        <b/>
        <sz val="9"/>
        <color rgb="FF000000"/>
        <rFont val="Arial"/>
        <family val="2"/>
      </rPr>
      <t>i</t>
    </r>
    <r>
      <rPr>
        <b/>
        <sz val="9"/>
        <color rgb="FF000000"/>
        <rFont val="Arial"/>
        <family val="2"/>
      </rPr>
      <t>s</t>
    </r>
    <r>
      <rPr>
        <b/>
        <sz val="9"/>
        <color rgb="FF000000"/>
        <rFont val="Arial"/>
        <family val="2"/>
      </rPr>
      <t>t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f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R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g</t>
    </r>
    <r>
      <rPr>
        <b/>
        <sz val="9"/>
        <color rgb="FF000000"/>
        <rFont val="Arial"/>
        <family val="2"/>
      </rPr>
      <t>e</t>
    </r>
    <r>
      <rPr>
        <b/>
        <sz val="9"/>
        <color rgb="FF000000"/>
        <rFont val="Arial"/>
        <family val="2"/>
      </rPr>
      <t>n</t>
    </r>
    <r>
      <rPr>
        <b/>
        <sz val="9"/>
        <color rgb="FF000000"/>
        <rFont val="Arial"/>
        <family val="2"/>
      </rPr>
      <t>c</t>
    </r>
    <r>
      <rPr>
        <b/>
        <sz val="9"/>
        <color rgb="FF000000"/>
        <rFont val="Arial"/>
        <family val="2"/>
      </rPr>
      <t>y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/</t>
    </r>
    <r>
      <rPr>
        <b/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City</t>
    </r>
  </si>
  <si>
    <t>REGION 1 – PROVINCE OF BANGKA BELITUNG</t>
  </si>
  <si>
    <t>Kab. Bangka</t>
  </si>
  <si>
    <t>Kab. Bangka Barat</t>
  </si>
  <si>
    <t>Kab. Bangka Selatan</t>
  </si>
  <si>
    <t>Kab. Bangka Tengah</t>
  </si>
  <si>
    <t>Kab. Belitung</t>
  </si>
  <si>
    <t>Kab. Belitung Timur</t>
  </si>
  <si>
    <t>REGION 1 – PROVINCE OF BANTEN</t>
  </si>
  <si>
    <t>Kab. Pandeglang</t>
  </si>
  <si>
    <t>Kab. Serang</t>
  </si>
  <si>
    <t>Kab. Lebak</t>
  </si>
  <si>
    <t>Kab. Tangerang</t>
  </si>
  <si>
    <t>REGION 1 – PROVINSI JAWA BARAT</t>
  </si>
  <si>
    <t>Kab. Bogor</t>
  </si>
  <si>
    <t>Kab. Bekasi</t>
  </si>
  <si>
    <t>Kab. Sukabumi</t>
  </si>
  <si>
    <t>Kab. Cianjur</t>
  </si>
  <si>
    <t>Kab. Bandung</t>
  </si>
  <si>
    <t>Kab. Purwakarta</t>
  </si>
  <si>
    <t>Kab. Karawang</t>
  </si>
  <si>
    <t>Kab. Subang</t>
  </si>
  <si>
    <t>Kab. Bandung Barat</t>
  </si>
  <si>
    <t>Kab. Garut</t>
  </si>
  <si>
    <t>Kab. Kuningan</t>
  </si>
  <si>
    <t>Kab. Majalengka</t>
  </si>
  <si>
    <t>Kab. Cirebon</t>
  </si>
  <si>
    <t>Kab. Sumedang</t>
  </si>
  <si>
    <t>Kota Cirebon</t>
  </si>
  <si>
    <t>Kab. Tasikmalaya</t>
  </si>
  <si>
    <t>Kab. Ciamis</t>
  </si>
  <si>
    <t>Kab. Pangandaran</t>
  </si>
  <si>
    <t>REGION 2 – PROVINSI JAWA TENGAH</t>
  </si>
  <si>
    <t>Kab. Banjarnegara</t>
  </si>
  <si>
    <t>Kab. Banyumas</t>
  </si>
  <si>
    <t>Kab. Cilacap</t>
  </si>
  <si>
    <t>Kab. Kebumen</t>
  </si>
  <si>
    <t>Kab. Magelang</t>
  </si>
  <si>
    <t>Kab. Purbalingga</t>
  </si>
  <si>
    <t>Kab. Purworejo</t>
  </si>
  <si>
    <t>Kab. Temanggung</t>
  </si>
  <si>
    <t>Kab. Wonosobo</t>
  </si>
  <si>
    <t>Kab. Batang</t>
  </si>
  <si>
    <t>Kab. Blora</t>
  </si>
  <si>
    <t>Kab. Boyolali</t>
  </si>
  <si>
    <t>Kab. Brebes</t>
  </si>
  <si>
    <t>Kab. Demak</t>
  </si>
  <si>
    <t>Kab. Grobogan</t>
  </si>
  <si>
    <t>Kab. Kudus</t>
  </si>
  <si>
    <t>Kab. Pati</t>
  </si>
  <si>
    <t>Kab. Pekalongan</t>
  </si>
  <si>
    <t>Kab. Pemalang</t>
  </si>
  <si>
    <t>Kab. Rembang</t>
  </si>
  <si>
    <t>Kab. Semarang</t>
  </si>
  <si>
    <t>Kab. Tegal</t>
  </si>
  <si>
    <t>Kab. Karanganyar</t>
  </si>
  <si>
    <t>Kab. Klaten</t>
  </si>
  <si>
    <t>Kab. Sragen</t>
  </si>
  <si>
    <t>Kab. Sukoharjo</t>
  </si>
  <si>
    <t>Kab. Wonogiri</t>
  </si>
  <si>
    <t>Kab. Kendal</t>
  </si>
  <si>
    <t>Kab. Jepara</t>
  </si>
  <si>
    <t>REGION 2 – PROVINSI DIY</t>
  </si>
  <si>
    <t>Kab. Bantul</t>
  </si>
  <si>
    <t>Kab. Gunung Kidul</t>
  </si>
  <si>
    <t>Kab. Kulon Progo</t>
  </si>
  <si>
    <t>Kab. Sleman</t>
  </si>
  <si>
    <t>REGION 3 – PROVINSI JAWA TIMUR</t>
  </si>
  <si>
    <t>Kab. Trenggalek</t>
  </si>
  <si>
    <t>Kab. Tulungagung</t>
  </si>
  <si>
    <t>Kab. Blitar</t>
  </si>
  <si>
    <t>Kab. Kediri</t>
  </si>
  <si>
    <t>Kab. Sidoarjo</t>
  </si>
  <si>
    <t>Kab. Mojokerto</t>
  </si>
  <si>
    <t>Kab. Jombang</t>
  </si>
  <si>
    <t>Kab. Nganjuk</t>
  </si>
  <si>
    <t>Kab. Bojonegoro</t>
  </si>
  <si>
    <t>Kab. Pacitan</t>
  </si>
  <si>
    <t>Kab. Ponorogo</t>
  </si>
  <si>
    <t>Kab. Malang</t>
  </si>
  <si>
    <t>Kab. Bondowoso</t>
  </si>
  <si>
    <t>Kab. Probolinggo</t>
  </si>
  <si>
    <t>Kab. Madiun</t>
  </si>
  <si>
    <t>Kab. Magetan</t>
  </si>
  <si>
    <t>Kab. Ngawi</t>
  </si>
  <si>
    <t>Kab. Tuban</t>
  </si>
  <si>
    <t>Kab. Lamongan</t>
  </si>
  <si>
    <t>Kab. Gresik</t>
  </si>
  <si>
    <t>Kab. Lumajang</t>
  </si>
  <si>
    <t>Kab. Jember</t>
  </si>
  <si>
    <t>Kab. Banyuwangi</t>
  </si>
  <si>
    <t>Kab. Situbondo</t>
  </si>
  <si>
    <t>Kab. Pasuruan</t>
  </si>
  <si>
    <t>Kab. Sampang</t>
  </si>
  <si>
    <t>Kab. Bangkalan</t>
  </si>
  <si>
    <t>Kab. Pamekasan</t>
  </si>
  <si>
    <t>Kab. Sumenep</t>
  </si>
  <si>
    <t>REGION 3 – PROVINSI BALI</t>
  </si>
  <si>
    <t>Kab. Bangli</t>
  </si>
  <si>
    <t>Kab. Karangasem</t>
  </si>
  <si>
    <t>Kab. Buleleng</t>
  </si>
  <si>
    <t>Kab. Jembrana</t>
  </si>
  <si>
    <t>Kab. Tabanan</t>
  </si>
  <si>
    <t>Kab. Gianyar</t>
  </si>
  <si>
    <t>Kab. Klungkung</t>
  </si>
  <si>
    <t>REGION 4 – PROVINSI NTB</t>
  </si>
  <si>
    <t>Lombok Barat</t>
  </si>
  <si>
    <t>Lombok Utara</t>
  </si>
  <si>
    <t>Lombok Timur</t>
  </si>
  <si>
    <t>Lombok Tengah</t>
  </si>
  <si>
    <t>Bima</t>
  </si>
  <si>
    <t>Dompu</t>
  </si>
  <si>
    <t>Sumbawa Barat</t>
  </si>
  <si>
    <t>Sumbawa</t>
  </si>
  <si>
    <t>REGION 4 – PROVINSI NTT</t>
  </si>
  <si>
    <t>Manggarai Barat</t>
  </si>
  <si>
    <t>Manggarai</t>
  </si>
  <si>
    <t>Manggarai Timur</t>
  </si>
  <si>
    <t>Ngada</t>
  </si>
  <si>
    <t>Nagekeo</t>
  </si>
  <si>
    <t>Ende</t>
  </si>
  <si>
    <t>Sika</t>
  </si>
  <si>
    <t>Flores Timur</t>
  </si>
  <si>
    <t>Kupang</t>
  </si>
  <si>
    <t>Rote Ndao</t>
  </si>
  <si>
    <t>Sabu Raijua</t>
  </si>
  <si>
    <t>Timor Tengah Selatan</t>
  </si>
  <si>
    <t>Lembata</t>
  </si>
  <si>
    <t>Alor</t>
  </si>
  <si>
    <t>Sumba Barat</t>
  </si>
  <si>
    <t>Sumba Barat Daya</t>
  </si>
  <si>
    <t>Sumba Tengah</t>
  </si>
  <si>
    <t>Sumba Timur</t>
  </si>
  <si>
    <t>Timor Tengah Utara</t>
  </si>
  <si>
    <t>Malaka</t>
  </si>
  <si>
    <t>Belu</t>
  </si>
  <si>
    <t>Kecamatan Dompu</t>
  </si>
  <si>
    <t>Kecamatan Woja</t>
  </si>
  <si>
    <t>Kecamatan PAjo</t>
  </si>
  <si>
    <t>Kecamatan Hu'u</t>
  </si>
  <si>
    <t>Kecamatan Manggelewa</t>
  </si>
  <si>
    <t>Kecamatan Kilo</t>
  </si>
  <si>
    <t>Kecamatan Kempo</t>
  </si>
  <si>
    <t>Kecamatan Pekat</t>
  </si>
  <si>
    <t>Desa Dore Bara</t>
  </si>
  <si>
    <t>Desa Katua</t>
  </si>
  <si>
    <t>Desa Karamabura</t>
  </si>
  <si>
    <t>Desa Kareke</t>
  </si>
  <si>
    <t>Desa Mangge Nae</t>
  </si>
  <si>
    <t>Desa Manggeasi</t>
  </si>
  <si>
    <t>Desa Mbawi</t>
  </si>
  <si>
    <t>Desa O'o</t>
  </si>
  <si>
    <t>Desa Sori Sakolo</t>
  </si>
  <si>
    <t>Kelurahan Bada</t>
  </si>
  <si>
    <t>Kelurahan Bali</t>
  </si>
  <si>
    <t>Kelurahan Karijawa</t>
  </si>
  <si>
    <t>Kelurahan Potu</t>
  </si>
  <si>
    <t>Kelurahan Doro Tangga</t>
  </si>
  <si>
    <t>Desa Doro Kobo</t>
  </si>
  <si>
    <t>Desa Kempo</t>
  </si>
  <si>
    <t>Desa Konte</t>
  </si>
  <si>
    <t>Desa Songgaja</t>
  </si>
  <si>
    <t>Desa Soro</t>
  </si>
  <si>
    <t>Desa Soro Barat</t>
  </si>
  <si>
    <t>Desa Ta'a</t>
  </si>
  <si>
    <t>Desa Tolo Kalo</t>
  </si>
  <si>
    <t>Desa Adu</t>
  </si>
  <si>
    <t>Desa Cempi Jaya</t>
  </si>
  <si>
    <t>Desa Daha</t>
  </si>
  <si>
    <t>Desa Hu'u</t>
  </si>
  <si>
    <t>Desa Jala</t>
  </si>
  <si>
    <t>Desa Marada</t>
  </si>
  <si>
    <t>Desa Rasa Bou</t>
  </si>
  <si>
    <t>Desa Sawe</t>
  </si>
  <si>
    <t>Desa Kiwu</t>
  </si>
  <si>
    <t>Desa Kramat</t>
  </si>
  <si>
    <t>Desa Lasi</t>
  </si>
  <si>
    <t>Desa Malaju</t>
  </si>
  <si>
    <t>Desa Mbuju</t>
  </si>
  <si>
    <t>Desa Taropo</t>
  </si>
  <si>
    <t>Desa Baka Jaya</t>
  </si>
  <si>
    <t>Desa Bara</t>
  </si>
  <si>
    <t>Desa Madaprama</t>
  </si>
  <si>
    <t>Desa Matua</t>
  </si>
  <si>
    <t>Desa Nowa</t>
  </si>
  <si>
    <t>Desa Mumbu</t>
  </si>
  <si>
    <t>Desa Raba Baka</t>
  </si>
  <si>
    <t>Desa Riwo</t>
  </si>
  <si>
    <t>Desa Saneo</t>
  </si>
  <si>
    <t>Desa Serakapi</t>
  </si>
  <si>
    <t>Desa Wawonduru</t>
  </si>
  <si>
    <t>Kelurahan Kandai II</t>
  </si>
  <si>
    <t>Kelurahan Monta Baru</t>
  </si>
  <si>
    <t>Kelurahan Simpasai</t>
  </si>
  <si>
    <t>Desa Anamina</t>
  </si>
  <si>
    <t>Desa Banggo</t>
  </si>
  <si>
    <t>Desa Doromelo</t>
  </si>
  <si>
    <t>Desa Kampasi Meci</t>
  </si>
  <si>
    <t>Desa Kwangko</t>
  </si>
  <si>
    <t>Desa Lanci Jaya</t>
  </si>
  <si>
    <t>Desa Nangatumpu</t>
  </si>
  <si>
    <t>Desa Nusa Jaya</t>
  </si>
  <si>
    <t>Desa Soriutu</t>
  </si>
  <si>
    <t>Desa Suka Damai</t>
  </si>
  <si>
    <t>Desa Tanju</t>
  </si>
  <si>
    <t>Desa Teka Sire</t>
  </si>
  <si>
    <t>Desa Calabai</t>
  </si>
  <si>
    <t>Desa Doro Peti</t>
  </si>
  <si>
    <t>Desa Pekat</t>
  </si>
  <si>
    <t>Desa Kadindi</t>
  </si>
  <si>
    <t>Desa Kadindi Barat</t>
  </si>
  <si>
    <t>Desa Karombo</t>
  </si>
  <si>
    <t>Desa Nangakara</t>
  </si>
  <si>
    <t>Desa Nangamiro</t>
  </si>
  <si>
    <t>Desa Sori Nomo</t>
  </si>
  <si>
    <t>Desa Sori Tatanga</t>
  </si>
  <si>
    <t>Desa Tambora</t>
  </si>
  <si>
    <t>Desa Jambu</t>
  </si>
  <si>
    <t>Desa Lepadi</t>
  </si>
  <si>
    <t>Desa Lune</t>
  </si>
  <si>
    <t>Desa Ranggo</t>
  </si>
  <si>
    <t>Desa Temba Lae</t>
  </si>
  <si>
    <t>Desa UPT Woko</t>
  </si>
  <si>
    <t>Kelurahan Kandai I</t>
  </si>
  <si>
    <t>Desa Bering Jaya</t>
  </si>
  <si>
    <t>a</t>
  </si>
  <si>
    <t>Jumlah Penduduk (Jiwa)
2015</t>
  </si>
  <si>
    <t>Kabupaten Bima</t>
  </si>
  <si>
    <t>pusk Woha</t>
  </si>
  <si>
    <t>PANDAI</t>
  </si>
  <si>
    <t>KELI</t>
  </si>
  <si>
    <t>RISA</t>
  </si>
  <si>
    <t>WADUWANI</t>
  </si>
  <si>
    <t>D.BOLO</t>
  </si>
  <si>
    <t>D. BOU</t>
  </si>
  <si>
    <t>PENAPALI</t>
  </si>
  <si>
    <t>TENGA</t>
  </si>
  <si>
    <t>NARU</t>
  </si>
  <si>
    <t>NISA</t>
  </si>
  <si>
    <t>KALAMPA</t>
  </si>
  <si>
    <t>SAMILI</t>
  </si>
  <si>
    <t>TALABIU</t>
  </si>
  <si>
    <t>RABAKODO</t>
  </si>
  <si>
    <t>TENTE</t>
  </si>
  <si>
    <t>Pusk. LANGGUDU TIMUR</t>
  </si>
  <si>
    <t>−</t>
  </si>
  <si>
    <t>SARAE RUMA</t>
  </si>
  <si>
    <t>KARAMPI</t>
  </si>
  <si>
    <t>KANGGA</t>
  </si>
  <si>
    <t>DUMU</t>
  </si>
  <si>
    <t>SAMBANE</t>
  </si>
  <si>
    <t>Pusk Langgudu</t>
  </si>
  <si>
    <t>PUSU</t>
  </si>
  <si>
    <t>WADURUKA</t>
  </si>
  <si>
    <t>KAWUWU</t>
  </si>
  <si>
    <t>KALODU</t>
  </si>
  <si>
    <t>LAJU</t>
  </si>
  <si>
    <t>DORO O'O</t>
  </si>
  <si>
    <t>WAWORADA</t>
  </si>
  <si>
    <t>ROMPO</t>
  </si>
  <si>
    <t>RUPE</t>
  </si>
  <si>
    <t>KARUMBU</t>
  </si>
  <si>
    <t>Pusk Tambora</t>
  </si>
  <si>
    <t>oi katupa</t>
  </si>
  <si>
    <t>kawinda toi</t>
  </si>
  <si>
    <t>oi panihi</t>
  </si>
  <si>
    <t>rasabou</t>
  </si>
  <si>
    <t>kawinda nae</t>
  </si>
  <si>
    <t>Labuhan Kananga</t>
  </si>
  <si>
    <t>Oi bura</t>
  </si>
  <si>
    <t>puskesmas Monta</t>
  </si>
  <si>
    <t>Tolo Tangga</t>
  </si>
  <si>
    <t>Tolo Uwi</t>
  </si>
  <si>
    <t>Nonto Tera</t>
  </si>
  <si>
    <t>Tangga Baru</t>
  </si>
  <si>
    <t>Sondo</t>
  </si>
  <si>
    <t>Wilamaci</t>
  </si>
  <si>
    <t>Waro</t>
  </si>
  <si>
    <t>Pela</t>
  </si>
  <si>
    <t>Simpasai</t>
  </si>
  <si>
    <t>Sie</t>
  </si>
  <si>
    <t>Tangga</t>
  </si>
  <si>
    <t>Monta</t>
  </si>
  <si>
    <t>Sakuru</t>
  </si>
  <si>
    <t>Baralau</t>
  </si>
  <si>
    <t>Pusk. Lambu</t>
  </si>
  <si>
    <t>Hidirasa</t>
  </si>
  <si>
    <t>Mangge</t>
  </si>
  <si>
    <t>Nggelu</t>
  </si>
  <si>
    <t>Lambu</t>
  </si>
  <si>
    <t>Kaleo</t>
  </si>
  <si>
    <t>Monta Baru</t>
  </si>
  <si>
    <t>Sangga</t>
  </si>
  <si>
    <t>Lanta Barat</t>
  </si>
  <si>
    <t>Lanta</t>
  </si>
  <si>
    <t>Rato</t>
  </si>
  <si>
    <t>Sumi</t>
  </si>
  <si>
    <t>Melayu</t>
  </si>
  <si>
    <t>Soro</t>
  </si>
  <si>
    <t>Pusk. Sape</t>
  </si>
  <si>
    <t>POJA</t>
  </si>
  <si>
    <t>LAMERE</t>
  </si>
  <si>
    <t>BUNCU</t>
  </si>
  <si>
    <t>KOWO</t>
  </si>
  <si>
    <t>BAJO PULAU</t>
  </si>
  <si>
    <t>BUGIS</t>
  </si>
  <si>
    <t>OI MACI</t>
  </si>
  <si>
    <t>RASABOU</t>
  </si>
  <si>
    <t>NARU BARAT</t>
  </si>
  <si>
    <t>SANGIA</t>
  </si>
  <si>
    <t>NA,E</t>
  </si>
  <si>
    <t>RAI-OI</t>
  </si>
  <si>
    <t>PARANGINA</t>
  </si>
  <si>
    <t>JIA</t>
  </si>
  <si>
    <t>BOKE</t>
  </si>
  <si>
    <t>TANAH PUTIH</t>
  </si>
  <si>
    <t>SARI</t>
  </si>
  <si>
    <t>Puks Bolo</t>
  </si>
  <si>
    <t>Kara</t>
  </si>
  <si>
    <t>Darusalam</t>
  </si>
  <si>
    <t>Rada</t>
  </si>
  <si>
    <t>Tumpu</t>
  </si>
  <si>
    <t>Sanolo</t>
  </si>
  <si>
    <t>Nggembe</t>
  </si>
  <si>
    <t>Sondosia</t>
  </si>
  <si>
    <t>Bontokape</t>
  </si>
  <si>
    <t>Timu</t>
  </si>
  <si>
    <t>Leu</t>
  </si>
  <si>
    <t>Kananga</t>
  </si>
  <si>
    <t>Rasabou</t>
  </si>
  <si>
    <t>Tambe</t>
  </si>
  <si>
    <t>Pusk SOROMANDI</t>
  </si>
  <si>
    <t>LEWI NTANA</t>
  </si>
  <si>
    <t>WADUKOPA</t>
  </si>
  <si>
    <t>SAMPUNGU</t>
  </si>
  <si>
    <t>SAI</t>
  </si>
  <si>
    <t>KANANTA</t>
  </si>
  <si>
    <t>PUNTI</t>
  </si>
  <si>
    <t>BAJO</t>
  </si>
  <si>
    <t>Pusk Palibelo</t>
  </si>
  <si>
    <t>Roi</t>
  </si>
  <si>
    <t>Dore</t>
  </si>
  <si>
    <t>Nata</t>
  </si>
  <si>
    <t>Ntonggu</t>
  </si>
  <si>
    <t>Teke</t>
  </si>
  <si>
    <t>Ragi</t>
  </si>
  <si>
    <t>T.risa</t>
  </si>
  <si>
    <t>T.ndoa</t>
  </si>
  <si>
    <t>Bre</t>
  </si>
  <si>
    <t>Padolo</t>
  </si>
  <si>
    <t>Belo</t>
  </si>
  <si>
    <t>Panda</t>
  </si>
  <si>
    <t>Pusk Madapangga</t>
  </si>
  <si>
    <t>CAMPA</t>
  </si>
  <si>
    <t>WORO</t>
  </si>
  <si>
    <t>MPURI</t>
  </si>
  <si>
    <t>TONDA</t>
  </si>
  <si>
    <t>MADAWAU</t>
  </si>
  <si>
    <t>NDANO</t>
  </si>
  <si>
    <t>MONGGO</t>
  </si>
  <si>
    <t>NCANDI</t>
  </si>
  <si>
    <t>DENA</t>
  </si>
  <si>
    <t>RADE</t>
  </si>
  <si>
    <t>BOLO</t>
  </si>
  <si>
    <t>Pusk PAI</t>
  </si>
  <si>
    <t>OITUI</t>
  </si>
  <si>
    <t>KALAJENA</t>
  </si>
  <si>
    <t>PAI</t>
  </si>
  <si>
    <t>pusk. WERA</t>
  </si>
  <si>
    <t>NTOKE</t>
  </si>
  <si>
    <t>BALA</t>
  </si>
  <si>
    <t>NANGA WERA</t>
  </si>
  <si>
    <t>WORA</t>
  </si>
  <si>
    <t>TAWALI</t>
  </si>
  <si>
    <t>SANGIANG</t>
  </si>
  <si>
    <t>MANDALA</t>
  </si>
  <si>
    <t>NUNGGI</t>
  </si>
  <si>
    <t>TADEWA</t>
  </si>
  <si>
    <t>RANGGASOLO</t>
  </si>
  <si>
    <t>HIDIRASA</t>
  </si>
  <si>
    <t>Pusk. Sanggar</t>
  </si>
  <si>
    <t>OI SARO</t>
  </si>
  <si>
    <t>PIONG</t>
  </si>
  <si>
    <t>BORO</t>
  </si>
  <si>
    <t>KORE</t>
  </si>
  <si>
    <t>SANDUE</t>
  </si>
  <si>
    <t>TALOKO</t>
  </si>
  <si>
    <t>Pusk. Ngali</t>
  </si>
  <si>
    <t>DIHA</t>
  </si>
  <si>
    <t>NCERA</t>
  </si>
  <si>
    <t>SOKI</t>
  </si>
  <si>
    <t>LIDO</t>
  </si>
  <si>
    <t>NGALI</t>
  </si>
  <si>
    <t>Pusk Belo</t>
  </si>
  <si>
    <t>92,00</t>
  </si>
  <si>
    <t>Renda</t>
  </si>
  <si>
    <t>96,19</t>
  </si>
  <si>
    <t>Cenggu</t>
  </si>
  <si>
    <t>94,05</t>
  </si>
  <si>
    <t>418\</t>
  </si>
  <si>
    <t>Runggu</t>
  </si>
  <si>
    <t>96,67</t>
  </si>
  <si>
    <t>Roka</t>
  </si>
  <si>
    <t>Pusk Ambalawi</t>
  </si>
  <si>
    <t>MAWU</t>
  </si>
  <si>
    <t>NIPA</t>
  </si>
  <si>
    <t>TALA PITI</t>
  </si>
  <si>
    <t>TOLOWATA</t>
  </si>
  <si>
    <t>RITE</t>
  </si>
  <si>
    <t>KOLE</t>
  </si>
  <si>
    <t>Pusk. Wawo</t>
  </si>
  <si>
    <t>RIAMAU</t>
  </si>
  <si>
    <t>TARLAWI</t>
  </si>
  <si>
    <t>RABA</t>
  </si>
  <si>
    <t>KOMBO</t>
  </si>
  <si>
    <t>KAMBILO</t>
  </si>
  <si>
    <t>PESA</t>
  </si>
  <si>
    <t>MARIA</t>
  </si>
  <si>
    <t>MARIA UTARA</t>
  </si>
  <si>
    <t>NTORI</t>
  </si>
  <si>
    <t>Pusk LAMBITU</t>
  </si>
  <si>
    <t>KABORO</t>
  </si>
  <si>
    <t>SAMBORI</t>
  </si>
  <si>
    <t>KUTA</t>
  </si>
  <si>
    <t>LONDU</t>
  </si>
  <si>
    <t>TETA</t>
  </si>
  <si>
    <t>KA'OWA</t>
  </si>
  <si>
    <t>Pusk DONGGO</t>
  </si>
  <si>
    <t>NDANO NA'E</t>
  </si>
  <si>
    <t>BUMI PAJO</t>
  </si>
  <si>
    <t>RORA</t>
  </si>
  <si>
    <t>PALAMA</t>
  </si>
  <si>
    <t>MBAWA</t>
  </si>
  <si>
    <t>MPILI</t>
  </si>
  <si>
    <t>KALA</t>
  </si>
  <si>
    <t>O'O</t>
  </si>
  <si>
    <t>DORIDUNGGA</t>
  </si>
  <si>
    <t>Pusk.Parado</t>
  </si>
  <si>
    <t>Lere</t>
  </si>
  <si>
    <t>Kanca</t>
  </si>
  <si>
    <t>Kuta</t>
  </si>
  <si>
    <t>Parado Wane</t>
  </si>
  <si>
    <t>Parado Rato</t>
  </si>
  <si>
    <t>JML Pnddk  Pengguna</t>
  </si>
  <si>
    <t>Rumah Tangga Pengguna</t>
  </si>
  <si>
    <t>JML</t>
  </si>
  <si>
    <t>JML Jiwa Pengguna</t>
  </si>
  <si>
    <t>JML Pnddk Pengguna</t>
  </si>
  <si>
    <t>JML Rt Peng     guna</t>
  </si>
  <si>
    <t>JML Rumah Memiliki</t>
  </si>
  <si>
    <t>JML pnddk Pengguna</t>
  </si>
  <si>
    <t>MS</t>
  </si>
  <si>
    <t xml:space="preserve">JML SARANA </t>
  </si>
  <si>
    <t>PENAMPUNGAN AIR HUJAN</t>
  </si>
  <si>
    <t>PERLINDUNGAN MATA AIR</t>
  </si>
  <si>
    <t>MOBIL TANGKI AIR DAN TERMINAL AIR</t>
  </si>
  <si>
    <t>SUMUR BOR DENGAN SPT DAN PL</t>
  </si>
  <si>
    <t>SUMUR GALI DENGAN POMPA</t>
  </si>
  <si>
    <t>SUMUR GALI TERLINDUNG</t>
  </si>
  <si>
    <t>% Rumah tangga yang Akses Air Minum</t>
  </si>
  <si>
    <t>Jumlah Rumah tangga yang Akses Air Minum</t>
  </si>
  <si>
    <t>% Penduduk yang Akses Air Minum</t>
  </si>
  <si>
    <t>Jumlah Penduduk yang Akses Air Minum</t>
  </si>
  <si>
    <t>PERPIPAAN</t>
  </si>
  <si>
    <t>BUKAN JARINGAN PERPIPAAN (BJP)</t>
  </si>
  <si>
    <t>JUMLAH RUMAH TANGGA</t>
  </si>
  <si>
    <t>JUMLAH PENDUDUK</t>
  </si>
  <si>
    <t>JUMLAH DUSUN</t>
  </si>
  <si>
    <t>DESA</t>
  </si>
  <si>
    <t>NO</t>
  </si>
  <si>
    <t xml:space="preserve"> KABUPATEN : BIMA PROPINSI : NUSA TENGGARA BARAT   TRIWULAN KE EMPAT (IV) TAHUN :  2019</t>
  </si>
  <si>
    <t>KOMPONEN : JUMLAH PENYELENGGARA AIR MINUM, PENDUDUK YG AKSES AIR MINUM DAN SARANA AIR MINUM</t>
  </si>
  <si>
    <t>REGISTER JUMLAH PENYELENGGARA AIR MINUM, PENDUDUK YANG AKSES AIR MINUM DAN SARANA AIR MINUM</t>
  </si>
  <si>
    <t>Jumlah Penduduk (Jiwa)
2019</t>
  </si>
  <si>
    <r>
      <rPr>
        <b/>
        <sz val="9"/>
        <color rgb="FF000000"/>
        <rFont val="Times New Roman"/>
        <family val="1"/>
      </rPr>
      <t>Jumlah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P</t>
    </r>
    <r>
      <rPr>
        <b/>
        <sz val="9"/>
        <color rgb="FF000000"/>
        <rFont val="Times New Roman"/>
        <family val="1"/>
      </rPr>
      <t>e</t>
    </r>
    <r>
      <rPr>
        <b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>d</t>
    </r>
    <r>
      <rPr>
        <b/>
        <sz val="9"/>
        <color rgb="FF000000"/>
        <rFont val="Times New Roman"/>
        <family val="1"/>
      </rPr>
      <t>u</t>
    </r>
    <r>
      <rPr>
        <b/>
        <sz val="9"/>
        <color rgb="FF000000"/>
        <rFont val="Times New Roman"/>
        <family val="1"/>
      </rPr>
      <t>d</t>
    </r>
    <r>
      <rPr>
        <b/>
        <sz val="9"/>
        <color rgb="FF000000"/>
        <rFont val="Times New Roman"/>
        <family val="1"/>
      </rPr>
      <t>u</t>
    </r>
    <r>
      <rPr>
        <b/>
        <sz val="9"/>
        <color rgb="FF000000"/>
        <rFont val="Times New Roman"/>
        <family val="1"/>
      </rPr>
      <t>k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00"/>
        <rFont val="Times New Roman"/>
        <family val="1"/>
      </rPr>
      <t>(J</t>
    </r>
    <r>
      <rPr>
        <b/>
        <sz val="9"/>
        <color rgb="FF000000"/>
        <rFont val="Times New Roman"/>
        <family val="1"/>
      </rPr>
      <t>i</t>
    </r>
    <r>
      <rPr>
        <b/>
        <sz val="9"/>
        <color rgb="FF000000"/>
        <rFont val="Times New Roman"/>
        <family val="1"/>
      </rPr>
      <t>w</t>
    </r>
    <r>
      <rPr>
        <b/>
        <sz val="9"/>
        <color rgb="FF000000"/>
        <rFont val="Times New Roman"/>
        <family val="1"/>
      </rPr>
      <t xml:space="preserve">a)
</t>
    </r>
    <r>
      <rPr>
        <b/>
        <sz val="9"/>
        <color rgb="FF000000"/>
        <rFont val="Times New Roman"/>
        <family val="1"/>
      </rPr>
      <t>2015</t>
    </r>
  </si>
  <si>
    <t>Kecamatan Taliwang</t>
  </si>
  <si>
    <t>Tamekan</t>
  </si>
  <si>
    <t>√</t>
  </si>
  <si>
    <t>Banjar</t>
  </si>
  <si>
    <t>Batu Putih</t>
  </si>
  <si>
    <t>Labuan Lalar</t>
  </si>
  <si>
    <t>Kertasari</t>
  </si>
  <si>
    <t>Lalar Liang</t>
  </si>
  <si>
    <t>Seloto</t>
  </si>
  <si>
    <t>Sermong</t>
  </si>
  <si>
    <t>Kuang</t>
  </si>
  <si>
    <t>Bugis</t>
  </si>
  <si>
    <t>Dalam</t>
  </si>
  <si>
    <t>Menala</t>
  </si>
  <si>
    <t>Sampir</t>
  </si>
  <si>
    <t>Telaga Bertong</t>
  </si>
  <si>
    <t>Arab Kenangan</t>
  </si>
  <si>
    <t>Kecamatan Brang Rea</t>
  </si>
  <si>
    <t>Tepas</t>
  </si>
  <si>
    <t>Tepas Sepakat</t>
  </si>
  <si>
    <t>Desa Beru</t>
  </si>
  <si>
    <t>Seminar Salit</t>
  </si>
  <si>
    <t>Sapugara Bree</t>
  </si>
  <si>
    <t>Bangkat Monteh</t>
  </si>
  <si>
    <t>Moteng</t>
  </si>
  <si>
    <t>Lamuntet</t>
  </si>
  <si>
    <t>Rarak Ronges</t>
  </si>
  <si>
    <r>
      <rPr>
        <sz val="9"/>
        <color rgb="FF000000"/>
        <rFont val="Times New Roman"/>
        <family val="1"/>
      </rPr>
      <t>3</t>
    </r>
  </si>
  <si>
    <t>Kecamatan Brang Ene</t>
  </si>
  <si>
    <t>Manemeng</t>
  </si>
  <si>
    <t>Mura</t>
  </si>
  <si>
    <t>Mujahiddin</t>
  </si>
  <si>
    <t>Mataiyang</t>
  </si>
  <si>
    <t>Kalimantong</t>
  </si>
  <si>
    <t>Lampok</t>
  </si>
  <si>
    <t>Kecamatan Jereweh</t>
  </si>
  <si>
    <t>Beru</t>
  </si>
  <si>
    <t>Goa</t>
  </si>
  <si>
    <t>Dasan Anyar</t>
  </si>
  <si>
    <t>Kecamatan Sekongkang</t>
  </si>
  <si>
    <t>Sekongkang Atas</t>
  </si>
  <si>
    <t>Sekongkang Bawah</t>
  </si>
  <si>
    <t>Kemuning</t>
  </si>
  <si>
    <t>Tongo</t>
  </si>
  <si>
    <t>Ai Kangkung</t>
  </si>
  <si>
    <t>Tatar</t>
  </si>
  <si>
    <t>Talonang Baru</t>
  </si>
  <si>
    <t>Kecamatan Seteluk</t>
  </si>
  <si>
    <t>Kelanir</t>
  </si>
  <si>
    <t>Meraran</t>
  </si>
  <si>
    <t>Seteluk Atas</t>
  </si>
  <si>
    <t>Seteluk Tengah</t>
  </si>
  <si>
    <t>Tapir</t>
  </si>
  <si>
    <t>Air Suning</t>
  </si>
  <si>
    <t>Lamusung</t>
  </si>
  <si>
    <t>Rempe</t>
  </si>
  <si>
    <t>Desa Loka</t>
  </si>
  <si>
    <t>Seran</t>
  </si>
  <si>
    <t>Kecamatan Poto Tano</t>
  </si>
  <si>
    <t>Senayan</t>
  </si>
  <si>
    <t>Tebo</t>
  </si>
  <si>
    <t>Mantar</t>
  </si>
  <si>
    <t>Tuananga</t>
  </si>
  <si>
    <t>Kiantar</t>
  </si>
  <si>
    <t>Poto Tano</t>
  </si>
  <si>
    <t>Kokar Lian</t>
  </si>
  <si>
    <t>Tambak Sari</t>
  </si>
  <si>
    <t>Kecamatan Maluk</t>
  </si>
  <si>
    <t>Maluk</t>
  </si>
  <si>
    <t>Benete</t>
  </si>
  <si>
    <t>Bukit Damai</t>
  </si>
  <si>
    <t>Mantun</t>
  </si>
  <si>
    <t>Pasir Putih</t>
  </si>
  <si>
    <r>
      <rPr>
        <b/>
        <sz val="9"/>
        <color indexed="8"/>
        <rFont val="Times New Roman"/>
        <family val="1"/>
      </rPr>
      <t>No.</t>
    </r>
  </si>
  <si>
    <r>
      <rPr>
        <b/>
        <sz val="9"/>
        <color indexed="8"/>
        <rFont val="Times New Roman"/>
        <family val="1"/>
      </rPr>
      <t>K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camatan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&amp;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K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 xml:space="preserve">lurahan
</t>
    </r>
    <r>
      <rPr>
        <b/>
        <sz val="9"/>
        <color indexed="8"/>
        <rFont val="Times New Roman"/>
        <family val="1"/>
      </rPr>
      <t>/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Desa</t>
    </r>
  </si>
  <si>
    <r>
      <rPr>
        <b/>
        <sz val="9"/>
        <color indexed="8"/>
        <rFont val="Times New Roman"/>
        <family val="1"/>
      </rPr>
      <t>Reka</t>
    </r>
    <r>
      <rPr>
        <b/>
        <sz val="9"/>
        <color indexed="8"/>
        <rFont val="Times New Roman"/>
        <family val="1"/>
      </rPr>
      <t>p</t>
    </r>
    <r>
      <rPr>
        <b/>
        <sz val="9"/>
        <color indexed="8"/>
        <rFont val="Times New Roman"/>
        <family val="1"/>
      </rPr>
      <t>itulasi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>k</t>
    </r>
    <r>
      <rPr>
        <b/>
        <sz val="9"/>
        <color indexed="8"/>
        <rFont val="Times New Roman"/>
        <family val="1"/>
      </rPr>
      <t>ses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P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l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>y</t>
    </r>
    <r>
      <rPr>
        <b/>
        <sz val="9"/>
        <color indexed="8"/>
        <rFont val="Times New Roman"/>
        <family val="1"/>
      </rPr>
      <t>anan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Air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B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rsih</t>
    </r>
  </si>
  <si>
    <r>
      <rPr>
        <b/>
        <sz val="9"/>
        <color indexed="8"/>
        <rFont val="Times New Roman"/>
        <family val="1"/>
      </rPr>
      <t>Be</t>
    </r>
    <r>
      <rPr>
        <b/>
        <sz val="9"/>
        <color indexed="8"/>
        <rFont val="Times New Roman"/>
        <family val="1"/>
      </rPr>
      <t>l</t>
    </r>
    <r>
      <rPr>
        <b/>
        <sz val="9"/>
        <color indexed="8"/>
        <rFont val="Times New Roman"/>
        <family val="1"/>
      </rPr>
      <t>um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>d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>k</t>
    </r>
    <r>
      <rPr>
        <b/>
        <sz val="9"/>
        <color indexed="8"/>
        <rFont val="Times New Roman"/>
        <family val="1"/>
      </rPr>
      <t>ses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P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l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>y</t>
    </r>
    <r>
      <rPr>
        <b/>
        <sz val="9"/>
        <color indexed="8"/>
        <rFont val="Times New Roman"/>
        <family val="1"/>
      </rPr>
      <t>anan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Air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B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rsih</t>
    </r>
  </si>
  <si>
    <r>
      <rPr>
        <b/>
        <sz val="9"/>
        <color indexed="8"/>
        <rFont val="Times New Roman"/>
        <family val="1"/>
      </rPr>
      <t>Jumlah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P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n</t>
    </r>
    <r>
      <rPr>
        <b/>
        <sz val="9"/>
        <color indexed="8"/>
        <rFont val="Times New Roman"/>
        <family val="1"/>
      </rPr>
      <t>d</t>
    </r>
    <r>
      <rPr>
        <b/>
        <sz val="9"/>
        <color indexed="8"/>
        <rFont val="Times New Roman"/>
        <family val="1"/>
      </rPr>
      <t>u</t>
    </r>
    <r>
      <rPr>
        <b/>
        <sz val="9"/>
        <color indexed="8"/>
        <rFont val="Times New Roman"/>
        <family val="1"/>
      </rPr>
      <t>d</t>
    </r>
    <r>
      <rPr>
        <b/>
        <sz val="9"/>
        <color indexed="8"/>
        <rFont val="Times New Roman"/>
        <family val="1"/>
      </rPr>
      <t>u</t>
    </r>
    <r>
      <rPr>
        <b/>
        <sz val="9"/>
        <color indexed="8"/>
        <rFont val="Times New Roman"/>
        <family val="1"/>
      </rPr>
      <t>k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(J</t>
    </r>
    <r>
      <rPr>
        <b/>
        <sz val="9"/>
        <color indexed="8"/>
        <rFont val="Times New Roman"/>
        <family val="1"/>
      </rPr>
      <t>i</t>
    </r>
    <r>
      <rPr>
        <b/>
        <sz val="9"/>
        <color indexed="8"/>
        <rFont val="Times New Roman"/>
        <family val="1"/>
      </rPr>
      <t>w</t>
    </r>
    <r>
      <rPr>
        <b/>
        <sz val="9"/>
        <color indexed="8"/>
        <rFont val="Times New Roman"/>
        <family val="1"/>
      </rPr>
      <t xml:space="preserve">a)
</t>
    </r>
    <r>
      <rPr>
        <b/>
        <sz val="9"/>
        <color indexed="8"/>
        <rFont val="Times New Roman"/>
        <family val="1"/>
      </rPr>
      <t>2015</t>
    </r>
  </si>
  <si>
    <r>
      <rPr>
        <b/>
        <sz val="9"/>
        <color indexed="8"/>
        <rFont val="Times New Roman"/>
        <family val="1"/>
      </rPr>
      <t>PDAM</t>
    </r>
  </si>
  <si>
    <r>
      <rPr>
        <b/>
        <sz val="9"/>
        <color indexed="8"/>
        <rFont val="Times New Roman"/>
        <family val="1"/>
      </rPr>
      <t>P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desaan</t>
    </r>
  </si>
  <si>
    <r>
      <rPr>
        <b/>
        <sz val="9"/>
        <color indexed="8"/>
        <rFont val="Times New Roman"/>
        <family val="1"/>
      </rPr>
      <t>S</t>
    </r>
    <r>
      <rPr>
        <b/>
        <sz val="9"/>
        <color indexed="8"/>
        <rFont val="Times New Roman"/>
        <family val="1"/>
      </rPr>
      <t>u</t>
    </r>
    <r>
      <rPr>
        <b/>
        <sz val="9"/>
        <color indexed="8"/>
        <rFont val="Times New Roman"/>
        <family val="1"/>
      </rPr>
      <t>mur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Da</t>
    </r>
    <r>
      <rPr>
        <b/>
        <sz val="9"/>
        <color indexed="8"/>
        <rFont val="Times New Roman"/>
        <family val="1"/>
      </rPr>
      <t>n</t>
    </r>
    <r>
      <rPr>
        <b/>
        <sz val="9"/>
        <color indexed="8"/>
        <rFont val="Times New Roman"/>
        <family val="1"/>
      </rPr>
      <t>gkal</t>
    </r>
  </si>
  <si>
    <r>
      <rPr>
        <b/>
        <sz val="9"/>
        <color indexed="8"/>
        <rFont val="Times New Roman"/>
        <family val="1"/>
      </rPr>
      <t>S</t>
    </r>
    <r>
      <rPr>
        <b/>
        <sz val="9"/>
        <color indexed="8"/>
        <rFont val="Times New Roman"/>
        <family val="1"/>
      </rPr>
      <t>u</t>
    </r>
    <r>
      <rPr>
        <b/>
        <sz val="9"/>
        <color indexed="8"/>
        <rFont val="Times New Roman"/>
        <family val="1"/>
      </rPr>
      <t>mur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Pompa</t>
    </r>
  </si>
  <si>
    <r>
      <rPr>
        <b/>
        <sz val="9"/>
        <color indexed="8"/>
        <rFont val="Times New Roman"/>
        <family val="1"/>
      </rPr>
      <t>Te</t>
    </r>
    <r>
      <rPr>
        <b/>
        <sz val="9"/>
        <color indexed="8"/>
        <rFont val="Times New Roman"/>
        <family val="1"/>
      </rPr>
      <t>r</t>
    </r>
    <r>
      <rPr>
        <b/>
        <sz val="9"/>
        <color indexed="8"/>
        <rFont val="Times New Roman"/>
        <family val="1"/>
      </rPr>
      <t>minal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Air</t>
    </r>
  </si>
  <si>
    <r>
      <rPr>
        <b/>
        <sz val="9"/>
        <color indexed="8"/>
        <rFont val="Times New Roman"/>
        <family val="1"/>
      </rPr>
      <t>Ba</t>
    </r>
    <r>
      <rPr>
        <b/>
        <sz val="9"/>
        <color indexed="8"/>
        <rFont val="Times New Roman"/>
        <family val="1"/>
      </rPr>
      <t>n</t>
    </r>
    <r>
      <rPr>
        <b/>
        <sz val="9"/>
        <color indexed="8"/>
        <rFont val="Times New Roman"/>
        <family val="1"/>
      </rPr>
      <t>gu</t>
    </r>
    <r>
      <rPr>
        <b/>
        <sz val="9"/>
        <color indexed="8"/>
        <rFont val="Times New Roman"/>
        <family val="1"/>
      </rPr>
      <t>n</t>
    </r>
    <r>
      <rPr>
        <b/>
        <sz val="9"/>
        <color indexed="8"/>
        <rFont val="Times New Roman"/>
        <family val="1"/>
      </rPr>
      <t>a</t>
    </r>
    <r>
      <rPr>
        <b/>
        <sz val="9"/>
        <color indexed="8"/>
        <rFont val="Times New Roman"/>
        <family val="1"/>
      </rPr>
      <t>n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P</t>
    </r>
    <r>
      <rPr>
        <b/>
        <sz val="9"/>
        <color indexed="8"/>
        <rFont val="Times New Roman"/>
        <family val="1"/>
      </rPr>
      <t>e</t>
    </r>
    <r>
      <rPr>
        <b/>
        <sz val="9"/>
        <color indexed="8"/>
        <rFont val="Times New Roman"/>
        <family val="1"/>
      </rPr>
      <t>na</t>
    </r>
    <r>
      <rPr>
        <b/>
        <sz val="9"/>
        <color indexed="8"/>
        <rFont val="Times New Roman"/>
        <family val="1"/>
      </rPr>
      <t>n</t>
    </r>
    <r>
      <rPr>
        <b/>
        <sz val="9"/>
        <color indexed="8"/>
        <rFont val="Times New Roman"/>
        <family val="1"/>
      </rPr>
      <t>gkap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Mata</t>
    </r>
    <r>
      <rPr>
        <b/>
        <sz val="9"/>
        <color indexed="8"/>
        <rFont val="Times New Roman"/>
        <family val="1"/>
      </rPr>
      <t xml:space="preserve"> </t>
    </r>
    <r>
      <rPr>
        <b/>
        <sz val="9"/>
        <color indexed="8"/>
        <rFont val="Times New Roman"/>
        <family val="1"/>
      </rPr>
      <t>Air</t>
    </r>
  </si>
  <si>
    <r>
      <rPr>
        <sz val="9"/>
        <color indexed="8"/>
        <rFont val="Times New Roman"/>
        <family val="1"/>
      </rPr>
      <t>1</t>
    </r>
  </si>
  <si>
    <t>Kecamatan Sekotong</t>
  </si>
  <si>
    <t>PELANGAN</t>
  </si>
  <si>
    <t>SEKOTONG BARAT</t>
  </si>
  <si>
    <t>BUWUN MAS</t>
  </si>
  <si>
    <t>SEKOTONG TENGAH</t>
  </si>
  <si>
    <t>KEDARO</t>
  </si>
  <si>
    <t>BATU PUTIH</t>
  </si>
  <si>
    <t>CENDI MANIK</t>
  </si>
  <si>
    <t>GILI GEDE INDAH</t>
  </si>
  <si>
    <t>TAMAN BARU</t>
  </si>
  <si>
    <r>
      <rPr>
        <sz val="9"/>
        <color indexed="8"/>
        <rFont val="Times New Roman"/>
        <family val="1"/>
      </rPr>
      <t>2</t>
    </r>
  </si>
  <si>
    <t>Kecamatan Lembar</t>
  </si>
  <si>
    <t>MAREJE</t>
  </si>
  <si>
    <t>SEKOTONG TIMUR</t>
  </si>
  <si>
    <t>LEMBAR</t>
  </si>
  <si>
    <t>JEMBATAN KEMBAR</t>
  </si>
  <si>
    <t>LABUAN TERENG</t>
  </si>
  <si>
    <t>MAREJE TIMUR</t>
  </si>
  <si>
    <t>LEMBAR SELATAN</t>
  </si>
  <si>
    <t>JEMBATAN GANTUNG</t>
  </si>
  <si>
    <t>JEMBATAN KEMBAR TIMUR</t>
  </si>
  <si>
    <t>EYAT MAYANG</t>
  </si>
  <si>
    <r>
      <rPr>
        <sz val="9"/>
        <color indexed="8"/>
        <rFont val="Times New Roman"/>
        <family val="1"/>
      </rPr>
      <t>3</t>
    </r>
  </si>
  <si>
    <t>Kecamatan Gerung</t>
  </si>
  <si>
    <t>BANYU URIP</t>
  </si>
  <si>
    <t>DASAN GERES</t>
  </si>
  <si>
    <t>DASAN TAPEN</t>
  </si>
  <si>
    <t>BABUSSALAM</t>
  </si>
  <si>
    <t>BELEKE</t>
  </si>
  <si>
    <t>KEBUNAYU</t>
  </si>
  <si>
    <t>GAPUK</t>
  </si>
  <si>
    <t>SUKA MAKMUR</t>
  </si>
  <si>
    <t>TEMPOS</t>
  </si>
  <si>
    <t>GERUNG SELATAN</t>
  </si>
  <si>
    <t>GERUNG UTARA</t>
  </si>
  <si>
    <t>GIRI TEMBESI</t>
  </si>
  <si>
    <t>TAMAN AYU</t>
  </si>
  <si>
    <t>MESANGGOK</t>
  </si>
  <si>
    <t>Kecamatan Kuripan</t>
  </si>
  <si>
    <t>KURIPAN SELATAN</t>
  </si>
  <si>
    <t>KURIPAN</t>
  </si>
  <si>
    <t>KURIPAN UTARA</t>
  </si>
  <si>
    <t>JAGARAGA</t>
  </si>
  <si>
    <t>GIRI SASAK</t>
  </si>
  <si>
    <t>KURIPAN TIMUR</t>
  </si>
  <si>
    <t>Kecamatan Labuapi</t>
  </si>
  <si>
    <t>KURANJI</t>
  </si>
  <si>
    <t>PEREMPUAN</t>
  </si>
  <si>
    <t>KARANG BONGKOT</t>
  </si>
  <si>
    <t>TERONG TAWAH</t>
  </si>
  <si>
    <t>BAJUR</t>
  </si>
  <si>
    <t>TELAGA WARU</t>
  </si>
  <si>
    <t>BAGIK POLAK</t>
  </si>
  <si>
    <t>BENGKEL</t>
  </si>
  <si>
    <t>MEREMBU</t>
  </si>
  <si>
    <t>LABUAPI</t>
  </si>
  <si>
    <t>KURANJI DALANG</t>
  </si>
  <si>
    <t>BAGIK POLAK BARAT</t>
  </si>
  <si>
    <t>Kecamatan Kediri</t>
  </si>
  <si>
    <t>JAGARAGA INDAH</t>
  </si>
  <si>
    <t>MONTONG ARE</t>
  </si>
  <si>
    <t>KEDIRI</t>
  </si>
  <si>
    <t>GELOGOR</t>
  </si>
  <si>
    <t>RUMAK</t>
  </si>
  <si>
    <t>BANYUMULEK</t>
  </si>
  <si>
    <t>OMBE BARU</t>
  </si>
  <si>
    <t>DASAN BARU</t>
  </si>
  <si>
    <t>KEDIRI SELATAN</t>
  </si>
  <si>
    <t>LELEDE</t>
  </si>
  <si>
    <t>Kecamatan Narmada</t>
  </si>
  <si>
    <t>SEMBUNG</t>
  </si>
  <si>
    <t>BADRAIN</t>
  </si>
  <si>
    <t>BATU KUTA</t>
  </si>
  <si>
    <t>TANAK BEAK</t>
  </si>
  <si>
    <t>PERESAK</t>
  </si>
  <si>
    <t>KERU</t>
  </si>
  <si>
    <t>SEDAU</t>
  </si>
  <si>
    <t>LEBAH SEMPAGE</t>
  </si>
  <si>
    <t>SESAOT</t>
  </si>
  <si>
    <t>SURANADI</t>
  </si>
  <si>
    <t>SELAT</t>
  </si>
  <si>
    <t>NYUR LEMBANG</t>
  </si>
  <si>
    <t>LEMBUAK</t>
  </si>
  <si>
    <t>DASAN TERENG</t>
  </si>
  <si>
    <t>KRAMA JAYA</t>
  </si>
  <si>
    <t>GERIMAX INDAH</t>
  </si>
  <si>
    <t>NARMADA</t>
  </si>
  <si>
    <t>GOLONG</t>
  </si>
  <si>
    <t>PAKUAN</t>
  </si>
  <si>
    <t>BUWUN SEJATI</t>
  </si>
  <si>
    <t>MEKAR SARI</t>
  </si>
  <si>
    <t>Kecamatan Lingsar</t>
  </si>
  <si>
    <t>PETELUAN INDAH</t>
  </si>
  <si>
    <t>LINGSAR</t>
  </si>
  <si>
    <t>BATU KUMBUNG</t>
  </si>
  <si>
    <t>BATU MEKAR</t>
  </si>
  <si>
    <t>KARANG BAYAN</t>
  </si>
  <si>
    <t>LANGKO</t>
  </si>
  <si>
    <t>SIGERONGAN</t>
  </si>
  <si>
    <t>DUMAN</t>
  </si>
  <si>
    <t>DASAN GERIA</t>
  </si>
  <si>
    <t>GEGERUNG</t>
  </si>
  <si>
    <t>GIRI MADIA</t>
  </si>
  <si>
    <t>GEGELANG</t>
  </si>
  <si>
    <t>GONTORAN</t>
  </si>
  <si>
    <t>SARIBAYE</t>
  </si>
  <si>
    <t>BUG BUG</t>
  </si>
  <si>
    <t>Kecamatan Gunung Sari</t>
  </si>
  <si>
    <t>JATI SELA</t>
  </si>
  <si>
    <t>SESELA</t>
  </si>
  <si>
    <t>MIDANG</t>
  </si>
  <si>
    <t>KEKERI</t>
  </si>
  <si>
    <t>PENIMBUNG</t>
  </si>
  <si>
    <t>MAMBALAN</t>
  </si>
  <si>
    <t>DOPANG</t>
  </si>
  <si>
    <t>TAMAN SARI</t>
  </si>
  <si>
    <t>GUNUNG SARI</t>
  </si>
  <si>
    <t>KEKAIT</t>
  </si>
  <si>
    <t>GUNTUR MACAN</t>
  </si>
  <si>
    <t>GELANGSAR</t>
  </si>
  <si>
    <t>RANJOK</t>
  </si>
  <si>
    <t>BUKIT TINGGI</t>
  </si>
  <si>
    <t>JERINGO</t>
  </si>
  <si>
    <t>Kecamatan Batu Layar</t>
  </si>
  <si>
    <t>SANDIK</t>
  </si>
  <si>
    <t>MENINTING</t>
  </si>
  <si>
    <t>BATU LAYAR</t>
  </si>
  <si>
    <t>LEMBAH SARI</t>
  </si>
  <si>
    <t>SENTELUK</t>
  </si>
  <si>
    <t>SENGGIGI</t>
  </si>
  <si>
    <t>BATU LAYAR BARAT</t>
  </si>
  <si>
    <t>BENGKAUNG</t>
  </si>
  <si>
    <t>PUSUK LESTARI</t>
  </si>
  <si>
    <t>No.</t>
  </si>
  <si>
    <t>Kecamatan &amp; Kelurahan
/ Desa</t>
  </si>
  <si>
    <t>Rekapitulasi Akses Pelayanan Air Bersih</t>
  </si>
  <si>
    <t>Belum Ada Akses Pelayanan Air Bersih</t>
  </si>
  <si>
    <t>PDAM</t>
  </si>
  <si>
    <t>Pedesaan</t>
  </si>
  <si>
    <t>Sumur Dangkal</t>
  </si>
  <si>
    <t>Sumur Pompa</t>
  </si>
  <si>
    <t>Terminal Air</t>
  </si>
  <si>
    <t>Bangunan Penangkap Mata Air</t>
  </si>
  <si>
    <t>1</t>
  </si>
  <si>
    <t>Kecamatan Pemenang</t>
  </si>
  <si>
    <t>Desa Persiapan Menggala</t>
  </si>
  <si>
    <t>X</t>
  </si>
  <si>
    <t>Desa Pemenang Barat</t>
  </si>
  <si>
    <t>Desa Malaka</t>
  </si>
  <si>
    <t>Desa Pemenang Timur</t>
  </si>
  <si>
    <t>2</t>
  </si>
  <si>
    <t>Kecamatan Tanjung</t>
  </si>
  <si>
    <t>Desa Sigar Penjalin</t>
  </si>
  <si>
    <t>Desa Teniga</t>
  </si>
  <si>
    <t>Desa Sokong</t>
  </si>
  <si>
    <t>Desa Tegal Maja</t>
  </si>
  <si>
    <t>Desa Persiapan Samaguna</t>
  </si>
  <si>
    <t>Kecamatan Gangga</t>
  </si>
  <si>
    <t>Desa Bentek</t>
  </si>
  <si>
    <t>Desa Persiapan Selelos</t>
  </si>
  <si>
    <t>Desa Gondang</t>
  </si>
  <si>
    <t>Desa Genggelang</t>
  </si>
  <si>
    <t>Desa Segara Katon</t>
  </si>
  <si>
    <t>Desa Rempek</t>
  </si>
  <si>
    <t>Desa Rempek Darussalam</t>
  </si>
  <si>
    <t>Desa Sambik Bangkol</t>
  </si>
  <si>
    <t>Kecamatan Kayangan</t>
  </si>
  <si>
    <t>Desa Pendua</t>
  </si>
  <si>
    <t>Desa Dangiang</t>
  </si>
  <si>
    <t>Desa Sesait</t>
  </si>
  <si>
    <t>Desa Santong Mulia</t>
  </si>
  <si>
    <t>Desa Santong</t>
  </si>
  <si>
    <t>Desa Pansor</t>
  </si>
  <si>
    <t>Desa Gumantar</t>
  </si>
  <si>
    <t>Desa Selengen</t>
  </si>
  <si>
    <t>Desa Salut</t>
  </si>
  <si>
    <t>Kecamatan Bayan</t>
  </si>
  <si>
    <t>3</t>
  </si>
  <si>
    <t>Desa Mumbulsari</t>
  </si>
  <si>
    <t>Desa Akar-akar</t>
  </si>
  <si>
    <t>Desa Persiapan Gunjan Asri</t>
  </si>
  <si>
    <t>Desa Sukadana</t>
  </si>
  <si>
    <t>Desa Persiapan Batu Rakit</t>
  </si>
  <si>
    <t>Desa Anyar</t>
  </si>
  <si>
    <t>Desa Karang Bajo</t>
  </si>
  <si>
    <t>Desa Senaru</t>
  </si>
  <si>
    <t>Desa Bayan</t>
  </si>
  <si>
    <t>Desa Loloan</t>
  </si>
  <si>
    <t>Desa Sambik Elen</t>
  </si>
  <si>
    <t>REKAPITULASI</t>
  </si>
  <si>
    <t xml:space="preserve"> LAPORAN AKSES SAB TAHUN 2017</t>
  </si>
  <si>
    <t>DINAS KESEHATAN KABUPATEN LOMBOK TENGAH</t>
  </si>
  <si>
    <t>PERIODE</t>
  </si>
  <si>
    <t>: Desember 2017</t>
  </si>
  <si>
    <t>No</t>
  </si>
  <si>
    <t>KECAMATAN</t>
  </si>
  <si>
    <t>PUSKESMAS</t>
  </si>
  <si>
    <t>DESA / KEL.</t>
  </si>
  <si>
    <t>Jumlah Penduduk</t>
  </si>
  <si>
    <t xml:space="preserve"> KK yang mengakses  Sarana ( Terlindungi/tidak terlindungi )</t>
  </si>
  <si>
    <t>Akses Awal</t>
  </si>
  <si>
    <t xml:space="preserve">KK yang belum mengakses </t>
  </si>
  <si>
    <t>Tambahan Sarana</t>
  </si>
  <si>
    <t xml:space="preserve">Tambahan Akses </t>
  </si>
  <si>
    <t>Akumulasi Tambahan SAB</t>
  </si>
  <si>
    <t>Akses Air Minum</t>
  </si>
  <si>
    <t>Jenis Sarana</t>
  </si>
  <si>
    <t>Jumlah                  KK</t>
  </si>
  <si>
    <t>Jumlah    Jiwa</t>
  </si>
  <si>
    <t xml:space="preserve">SGL </t>
  </si>
  <si>
    <t xml:space="preserve">Ledeng </t>
  </si>
  <si>
    <t>Keran Umum</t>
  </si>
  <si>
    <t>Sumur Bor</t>
  </si>
  <si>
    <t>PAH</t>
  </si>
  <si>
    <t xml:space="preserve">Mata Air </t>
  </si>
  <si>
    <t>Lain2</t>
  </si>
  <si>
    <t>KK</t>
  </si>
  <si>
    <t>%</t>
  </si>
  <si>
    <t>SGL</t>
  </si>
  <si>
    <t>Total KK</t>
  </si>
  <si>
    <t>AM</t>
  </si>
  <si>
    <t>24=(5+15)</t>
  </si>
  <si>
    <t>25=(6+16)</t>
  </si>
  <si>
    <t>26=(7+17)</t>
  </si>
  <si>
    <t>27=8+18)</t>
  </si>
  <si>
    <t>28=(9+19)</t>
  </si>
  <si>
    <t>29=10(20)</t>
  </si>
  <si>
    <t>30=(11+21)</t>
  </si>
  <si>
    <t>31=(12+22)</t>
  </si>
  <si>
    <t>32=(32/3*100)</t>
  </si>
  <si>
    <t>Praya Barat</t>
  </si>
  <si>
    <t>Penujak</t>
  </si>
  <si>
    <t>Bonder</t>
  </si>
  <si>
    <t>Setanggor</t>
  </si>
  <si>
    <t>Tanak Rarang</t>
  </si>
  <si>
    <t>Jumlah</t>
  </si>
  <si>
    <t>Batujai</t>
  </si>
  <si>
    <t>Mangkung</t>
  </si>
  <si>
    <t>Kateng</t>
  </si>
  <si>
    <t>Banyu Urip</t>
  </si>
  <si>
    <t>Selong Belanak</t>
  </si>
  <si>
    <t>Mekar Sari</t>
  </si>
  <si>
    <t>Praya Barat Daya</t>
  </si>
  <si>
    <t>Darek</t>
  </si>
  <si>
    <t>Ungga</t>
  </si>
  <si>
    <t>Ranggagata</t>
  </si>
  <si>
    <t>Plambik</t>
  </si>
  <si>
    <t>Serage</t>
  </si>
  <si>
    <t>Teduh</t>
  </si>
  <si>
    <t>Pandan Indah</t>
  </si>
  <si>
    <t>Batu Jangkih</t>
  </si>
  <si>
    <t>Montong Sapah</t>
  </si>
  <si>
    <t>Montong Ajan</t>
  </si>
  <si>
    <t>Kabul</t>
  </si>
  <si>
    <t>Pujut</t>
  </si>
  <si>
    <t>Sengkol</t>
  </si>
  <si>
    <t>Kawo</t>
  </si>
  <si>
    <t>Ketara</t>
  </si>
  <si>
    <t>Tanak Awu</t>
  </si>
  <si>
    <t>Pengembur</t>
  </si>
  <si>
    <t>Segala Anyar</t>
  </si>
  <si>
    <t>Tumpak</t>
  </si>
  <si>
    <t>Prabu</t>
  </si>
  <si>
    <t>Rembitan</t>
  </si>
  <si>
    <t xml:space="preserve">Mertak  </t>
  </si>
  <si>
    <t>Teruwai</t>
  </si>
  <si>
    <t>Sukadana</t>
  </si>
  <si>
    <t>Bangket Parak</t>
  </si>
  <si>
    <t>Pengengat</t>
  </si>
  <si>
    <t>Gapura</t>
  </si>
  <si>
    <t>Praya Timur</t>
  </si>
  <si>
    <t>Mujur</t>
  </si>
  <si>
    <t>Kidang</t>
  </si>
  <si>
    <t>Marong</t>
  </si>
  <si>
    <t>Sukaraja</t>
  </si>
  <si>
    <t>Sengkerang</t>
  </si>
  <si>
    <t>Ganti</t>
  </si>
  <si>
    <t>Landah</t>
  </si>
  <si>
    <t>Bilelando</t>
  </si>
  <si>
    <t>Semoyang</t>
  </si>
  <si>
    <t>Beleka</t>
  </si>
  <si>
    <t>Janapria</t>
  </si>
  <si>
    <t>Pendem</t>
  </si>
  <si>
    <t>Saba</t>
  </si>
  <si>
    <t>Lekor</t>
  </si>
  <si>
    <t>Jango</t>
  </si>
  <si>
    <t>Setuta</t>
  </si>
  <si>
    <t>Langko</t>
  </si>
  <si>
    <t>Loang Maka</t>
  </si>
  <si>
    <t>Selebung Rembiga</t>
  </si>
  <si>
    <t>Bakan</t>
  </si>
  <si>
    <t>Durian</t>
  </si>
  <si>
    <t>Karembong</t>
  </si>
  <si>
    <t>Kopang</t>
  </si>
  <si>
    <t>Kopang Rembiga</t>
  </si>
  <si>
    <t>Montong Gamang</t>
  </si>
  <si>
    <t>Bebuak</t>
  </si>
  <si>
    <t>Wajageseng</t>
  </si>
  <si>
    <t>Lendang Are</t>
  </si>
  <si>
    <t>Aik Bual</t>
  </si>
  <si>
    <t>Muncan</t>
  </si>
  <si>
    <t>Monggas</t>
  </si>
  <si>
    <t>Darmaji</t>
  </si>
  <si>
    <t>Dasan Baru</t>
  </si>
  <si>
    <t>Semparu</t>
  </si>
  <si>
    <t>Praya</t>
  </si>
  <si>
    <t>Panjisari</t>
  </si>
  <si>
    <t>Leneng</t>
  </si>
  <si>
    <t>Renteng</t>
  </si>
  <si>
    <t>Prapen</t>
  </si>
  <si>
    <t>Tiwugalih</t>
  </si>
  <si>
    <t>Semayan</t>
  </si>
  <si>
    <t>Gerunung</t>
  </si>
  <si>
    <t>Gonjak</t>
  </si>
  <si>
    <t>Aik Mual</t>
  </si>
  <si>
    <t>Bunut Baok</t>
  </si>
  <si>
    <t>Jago</t>
  </si>
  <si>
    <t>Mertak Tombok</t>
  </si>
  <si>
    <t>Montong Terep</t>
  </si>
  <si>
    <t>Mekar Damai</t>
  </si>
  <si>
    <t>Praya Tengah</t>
  </si>
  <si>
    <t>Pengadang</t>
  </si>
  <si>
    <t>Jontlak</t>
  </si>
  <si>
    <t>Gerantung</t>
  </si>
  <si>
    <t>Beraim</t>
  </si>
  <si>
    <t>Jurang Jaler</t>
  </si>
  <si>
    <t>Dakung</t>
  </si>
  <si>
    <t>Prai Meke</t>
  </si>
  <si>
    <t>Batunyala</t>
  </si>
  <si>
    <t>Sasake</t>
  </si>
  <si>
    <t>Lajut</t>
  </si>
  <si>
    <t>Pejanggik</t>
  </si>
  <si>
    <t>Kelebuh</t>
  </si>
  <si>
    <t>Jonggat</t>
  </si>
  <si>
    <t>Ubung</t>
  </si>
  <si>
    <t>Labulia</t>
  </si>
  <si>
    <t>Nyerot</t>
  </si>
  <si>
    <t>Batutulis</t>
  </si>
  <si>
    <t>Jelantik</t>
  </si>
  <si>
    <t>Bonjeruk</t>
  </si>
  <si>
    <t>Bunkate</t>
  </si>
  <si>
    <t>Perina</t>
  </si>
  <si>
    <t>Pengejek</t>
  </si>
  <si>
    <t>Puyung</t>
  </si>
  <si>
    <t>Sukarara</t>
  </si>
  <si>
    <t>Gemel</t>
  </si>
  <si>
    <t>Barejulat</t>
  </si>
  <si>
    <t>Pringarata</t>
  </si>
  <si>
    <t>Pringgarata</t>
  </si>
  <si>
    <t>Murbaya</t>
  </si>
  <si>
    <t>Sepakek</t>
  </si>
  <si>
    <t>Pemepek</t>
  </si>
  <si>
    <t>Arjangka</t>
  </si>
  <si>
    <t>Taman Indah</t>
  </si>
  <si>
    <t>Bagu</t>
  </si>
  <si>
    <t>Bilebante</t>
  </si>
  <si>
    <t>Sintung</t>
  </si>
  <si>
    <t>Sisik</t>
  </si>
  <si>
    <t>Menemeng</t>
  </si>
  <si>
    <t>Batukliang</t>
  </si>
  <si>
    <t>Mantang</t>
  </si>
  <si>
    <t>Barabali</t>
  </si>
  <si>
    <t>Bujak</t>
  </si>
  <si>
    <t>Peresak</t>
  </si>
  <si>
    <t>Tampak Siring</t>
  </si>
  <si>
    <t>Aik Darek</t>
  </si>
  <si>
    <t>Beber</t>
  </si>
  <si>
    <t>Pagutan</t>
  </si>
  <si>
    <t xml:space="preserve">Selebung  </t>
  </si>
  <si>
    <t>Mekar Bersatu</t>
  </si>
  <si>
    <t>Batukliang Utara</t>
  </si>
  <si>
    <t>Teratak</t>
  </si>
  <si>
    <t>Aik Bukak</t>
  </si>
  <si>
    <t>Aik Berik</t>
  </si>
  <si>
    <t>Mas-mas</t>
  </si>
  <si>
    <t>Stiling</t>
  </si>
  <si>
    <t>Tanak Beak</t>
  </si>
  <si>
    <t>Lantan</t>
  </si>
  <si>
    <t>Karang Sidemen</t>
  </si>
  <si>
    <t>Total :</t>
  </si>
  <si>
    <t>Praya, ....... April 2018</t>
  </si>
  <si>
    <t>Mengetahui</t>
  </si>
  <si>
    <t xml:space="preserve">Dinas Kesehatan </t>
  </si>
  <si>
    <t>Kabupaten Lombok Tengah</t>
  </si>
  <si>
    <t>Kasi. Kesehatan Lingkungan,</t>
  </si>
  <si>
    <t>Lalu Halik, S.Sos</t>
  </si>
  <si>
    <t>NIP. 19661231 198802 1 016</t>
  </si>
  <si>
    <t xml:space="preserve">  Jiwa          </t>
  </si>
  <si>
    <t>Tarano</t>
  </si>
  <si>
    <t>Banda</t>
  </si>
  <si>
    <t>batulanteh</t>
  </si>
  <si>
    <t>Labuan Aji</t>
  </si>
  <si>
    <t>Labuhan Bontong</t>
  </si>
  <si>
    <t>Labuhan Jambu</t>
  </si>
  <si>
    <t>Mata</t>
  </si>
  <si>
    <t>Pidang</t>
  </si>
  <si>
    <t>Tolo Oi</t>
  </si>
  <si>
    <t>Empang</t>
  </si>
  <si>
    <t>Boal</t>
  </si>
  <si>
    <t>Bunga Eja</t>
  </si>
  <si>
    <t>Empang Atas</t>
  </si>
  <si>
    <t>Empang Bawah</t>
  </si>
  <si>
    <t>Gapit</t>
  </si>
  <si>
    <t>Jotang</t>
  </si>
  <si>
    <t>Jotang Beru</t>
  </si>
  <si>
    <t>Lamenta</t>
  </si>
  <si>
    <t>Ongko</t>
  </si>
  <si>
    <t>Pamanto</t>
  </si>
  <si>
    <t>Plampang</t>
  </si>
  <si>
    <t>Brang Kolong</t>
  </si>
  <si>
    <t xml:space="preserve">Muer </t>
  </si>
  <si>
    <t>Selante</t>
  </si>
  <si>
    <t>Sepakat</t>
  </si>
  <si>
    <t>Sepayung</t>
  </si>
  <si>
    <t>SP I Prode</t>
  </si>
  <si>
    <t>SP II Prode</t>
  </si>
  <si>
    <t>SP III Prode</t>
  </si>
  <si>
    <t>Teluk Santong</t>
  </si>
  <si>
    <t>Usar</t>
  </si>
  <si>
    <t>Labangka</t>
  </si>
  <si>
    <t>Jaya Makmur</t>
  </si>
  <si>
    <t>Sekokat</t>
  </si>
  <si>
    <t>Suka Damai</t>
  </si>
  <si>
    <t>Suka Mulya</t>
  </si>
  <si>
    <t>Maronge</t>
  </si>
  <si>
    <t>Lab. Sangoro</t>
  </si>
  <si>
    <t>Pemasar</t>
  </si>
  <si>
    <t>Simu</t>
  </si>
  <si>
    <t>Lape</t>
  </si>
  <si>
    <t>Dete</t>
  </si>
  <si>
    <t>Hijrah</t>
  </si>
  <si>
    <t>Labuhan Kuris</t>
  </si>
  <si>
    <t>Lopok</t>
  </si>
  <si>
    <t>Berora</t>
  </si>
  <si>
    <t>Langam</t>
  </si>
  <si>
    <t>Lopok Beru</t>
  </si>
  <si>
    <t>Mama</t>
  </si>
  <si>
    <t>Pungkit</t>
  </si>
  <si>
    <t>Tatede</t>
  </si>
  <si>
    <t>Moyo Hilir</t>
  </si>
  <si>
    <t>Batu Bangka</t>
  </si>
  <si>
    <t>Berare</t>
  </si>
  <si>
    <t>Kakiang</t>
  </si>
  <si>
    <t>Labuhan Ijuk</t>
  </si>
  <si>
    <t>Moyo</t>
  </si>
  <si>
    <t>Moyo Mekar</t>
  </si>
  <si>
    <t>Ngeru</t>
  </si>
  <si>
    <t>Olat Rawa</t>
  </si>
  <si>
    <t>Poto</t>
  </si>
  <si>
    <t>Serading</t>
  </si>
  <si>
    <t>Moyo Utara</t>
  </si>
  <si>
    <t>Baru Tahan</t>
  </si>
  <si>
    <t>Kukin</t>
  </si>
  <si>
    <t>Penyaring</t>
  </si>
  <si>
    <t>Sebewe</t>
  </si>
  <si>
    <t>Songkar</t>
  </si>
  <si>
    <t>Moyo Hulu</t>
  </si>
  <si>
    <t>Batu Bulan</t>
  </si>
  <si>
    <t>Batu Tering</t>
  </si>
  <si>
    <t>Berang Rea</t>
  </si>
  <si>
    <t>Leseng</t>
  </si>
  <si>
    <t>Lito</t>
  </si>
  <si>
    <t>Maman</t>
  </si>
  <si>
    <t>Marga Karya</t>
  </si>
  <si>
    <t>Mokong</t>
  </si>
  <si>
    <t>Pernek</t>
  </si>
  <si>
    <t>Sebasang</t>
  </si>
  <si>
    <t>Semamung</t>
  </si>
  <si>
    <t>Sempe</t>
  </si>
  <si>
    <t>Lenangguar</t>
  </si>
  <si>
    <t>Ledang</t>
  </si>
  <si>
    <t>Tatebal</t>
  </si>
  <si>
    <t>Telaga</t>
  </si>
  <si>
    <t>Ropang</t>
  </si>
  <si>
    <t>Lawin</t>
  </si>
  <si>
    <t>Lebangkar</t>
  </si>
  <si>
    <t>Ranan</t>
  </si>
  <si>
    <t>Lebin</t>
  </si>
  <si>
    <t>Lunyuk</t>
  </si>
  <si>
    <t>Emang Lestari</t>
  </si>
  <si>
    <t>Jamu</t>
  </si>
  <si>
    <t>Lunyuk Ode</t>
  </si>
  <si>
    <t>Lunyuk Rea</t>
  </si>
  <si>
    <t>Padasuka</t>
  </si>
  <si>
    <t>Perung</t>
  </si>
  <si>
    <t>Suka Maju</t>
  </si>
  <si>
    <t>Ortel</t>
  </si>
  <si>
    <t>Kelawis</t>
  </si>
  <si>
    <t xml:space="preserve">Mungkin </t>
  </si>
  <si>
    <t>Senawang</t>
  </si>
  <si>
    <t>Sebeok</t>
  </si>
  <si>
    <t>Lantung</t>
  </si>
  <si>
    <t>Ai Mual</t>
  </si>
  <si>
    <t>Padesa</t>
  </si>
  <si>
    <t>Sepukur</t>
  </si>
  <si>
    <t>Batulanteh</t>
  </si>
  <si>
    <t>Bao Desa</t>
  </si>
  <si>
    <t>Batu Dulang</t>
  </si>
  <si>
    <t>Batu Rotok</t>
  </si>
  <si>
    <t>Kelungkung</t>
  </si>
  <si>
    <t>Tangkan Pulit</t>
  </si>
  <si>
    <t>Tepal</t>
  </si>
  <si>
    <t>Unter Iwes</t>
  </si>
  <si>
    <t>Boak</t>
  </si>
  <si>
    <t xml:space="preserve">Jorok </t>
  </si>
  <si>
    <t>Kerato</t>
  </si>
  <si>
    <t>Kerekeh</t>
  </si>
  <si>
    <t>Nijang</t>
  </si>
  <si>
    <t>Pelat</t>
  </si>
  <si>
    <t>Pungka</t>
  </si>
  <si>
    <t>Uma Beringin</t>
  </si>
  <si>
    <t>Samapuin</t>
  </si>
  <si>
    <t>Pekat</t>
  </si>
  <si>
    <t>Seketeng</t>
  </si>
  <si>
    <t>Brang Bara</t>
  </si>
  <si>
    <t>Brang Biji</t>
  </si>
  <si>
    <t>Lempeh</t>
  </si>
  <si>
    <t>Uma Sima</t>
  </si>
  <si>
    <t>rhee</t>
  </si>
  <si>
    <t>Luk</t>
  </si>
  <si>
    <t>Rhee</t>
  </si>
  <si>
    <t>Rhee Loka</t>
  </si>
  <si>
    <t>Sampe</t>
  </si>
  <si>
    <t>Utan</t>
  </si>
  <si>
    <t>Bale Brang</t>
  </si>
  <si>
    <t>Jorok</t>
  </si>
  <si>
    <t>Lab.Bajo</t>
  </si>
  <si>
    <t>Motong</t>
  </si>
  <si>
    <t>Orong Bawa</t>
  </si>
  <si>
    <t>Pukat</t>
  </si>
  <si>
    <t>Sabedo</t>
  </si>
  <si>
    <t>Stowe Brang</t>
  </si>
  <si>
    <t>Tengah</t>
  </si>
  <si>
    <t>Buer</t>
  </si>
  <si>
    <t>Buin Baru</t>
  </si>
  <si>
    <t>Juru Mapin</t>
  </si>
  <si>
    <t>Kalabeso</t>
  </si>
  <si>
    <t>Labuhan Burung</t>
  </si>
  <si>
    <t>Pulau Kaung</t>
  </si>
  <si>
    <t>Tarusa</t>
  </si>
  <si>
    <t>Alas</t>
  </si>
  <si>
    <t>Baru</t>
  </si>
  <si>
    <t>Juran Alas</t>
  </si>
  <si>
    <t>Kalimango</t>
  </si>
  <si>
    <t>Lab.Alas</t>
  </si>
  <si>
    <t>Luar</t>
  </si>
  <si>
    <t>Marente</t>
  </si>
  <si>
    <t>Pulau Bungin</t>
  </si>
  <si>
    <t>Alas Barat</t>
  </si>
  <si>
    <t>Gontar</t>
  </si>
  <si>
    <t>Gontar Baru</t>
  </si>
  <si>
    <t>Labuhan Mapin</t>
  </si>
  <si>
    <t>Lekong</t>
  </si>
  <si>
    <t>Mapin Beru</t>
  </si>
  <si>
    <t>Mapin Kebak</t>
  </si>
  <si>
    <t>Mapin Rea</t>
  </si>
  <si>
    <t>Usar Mapin</t>
  </si>
  <si>
    <t>Labuan Badas</t>
  </si>
  <si>
    <t>Bajo Medang</t>
  </si>
  <si>
    <t>Bugis Medang</t>
  </si>
  <si>
    <t>Karang Dima</t>
  </si>
  <si>
    <t>Labuhan Aji</t>
  </si>
  <si>
    <t>Labuhan  Sumbawa</t>
  </si>
  <si>
    <t>Labuhan Badas</t>
  </si>
  <si>
    <t>Sebotok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</si>
</sst>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_);_(@_)"/>
    <numFmt numFmtId="167" formatCode="_(* #,##0.00_);_(* \(#,##0.00\);_(* &quot;-&quot;_);_(@_)"/>
    <numFmt numFmtId="168" formatCode="_(* #,##0.000_);_(* \(#,##0.000\);_(* &quot;-&quot;_);_(@_)"/>
    <numFmt numFmtId="169" formatCode="_(* #,##0_);_(* \(#,##0\);_(* &quot;-&quot;??_);_(@_)"/>
    <numFmt numFmtId="170" formatCode="_(* #,##0.0_);_(* \(#,##0.0\);_(* &quot;-&quot;??_);_(@_)"/>
    <numFmt numFmtId="171" formatCode="0.0"/>
  </numFmts>
  <fonts count="7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charset val="204"/>
    </font>
    <font>
      <b/>
      <sz val="9"/>
      <color rgb="FF000000"/>
      <name val="Webdings"/>
      <family val="1"/>
      <charset val="2"/>
    </font>
    <font>
      <sz val="9"/>
      <color rgb="FF000000"/>
      <name val="Calibri"/>
      <family val="2"/>
      <charset val="204"/>
    </font>
    <font>
      <sz val="9"/>
      <color theme="1"/>
      <name val="Arial"/>
      <family val="2"/>
    </font>
    <font>
      <b/>
      <sz val="8"/>
      <color theme="1"/>
      <name val="Agency FB"/>
      <family val="2"/>
    </font>
    <font>
      <sz val="8"/>
      <color theme="1"/>
      <name val="Agency FB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8"/>
      <name val="Calibri"/>
      <family val="2"/>
      <scheme val="minor"/>
    </font>
    <font>
      <sz val="8"/>
      <color theme="1"/>
      <name val="Arial Narrow"/>
      <family val="2"/>
    </font>
    <font>
      <sz val="8"/>
      <color rgb="FFFF0000"/>
      <name val="Calibri"/>
      <family val="2"/>
      <scheme val="minor"/>
    </font>
    <font>
      <sz val="8"/>
      <name val="Arial Unicode MS"/>
      <family val="2"/>
    </font>
    <font>
      <sz val="8"/>
      <color rgb="FFFF0000"/>
      <name val="Arial Unicode MS"/>
      <family val="2"/>
    </font>
    <font>
      <sz val="9"/>
      <name val="Agency FB"/>
      <family val="2"/>
    </font>
    <font>
      <sz val="9"/>
      <color theme="1"/>
      <name val="Agency FB"/>
      <family val="2"/>
    </font>
    <font>
      <sz val="8"/>
      <name val="Agency FB"/>
      <family val="2"/>
    </font>
    <font>
      <b/>
      <sz val="8"/>
      <name val="Agency FB"/>
      <family val="2"/>
    </font>
    <font>
      <sz val="8"/>
      <color rgb="FFFF0000"/>
      <name val="Agency FB"/>
      <family val="2"/>
    </font>
    <font>
      <sz val="9"/>
      <color theme="1"/>
      <name val="Arial Narrow"/>
      <family val="2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gency FB"/>
      <family val="2"/>
    </font>
    <font>
      <sz val="8"/>
      <color theme="1"/>
      <name val="Calibri"/>
      <family val="2"/>
      <scheme val="minor"/>
    </font>
    <font>
      <b/>
      <sz val="8"/>
      <color rgb="FFFF0000"/>
      <name val="Agency FB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b/>
      <sz val="7"/>
      <color theme="1"/>
      <name val="Arial Unicode MS"/>
      <family val="2"/>
    </font>
    <font>
      <sz val="7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theme="1"/>
      <name val="Times New Roman"/>
      <family val="1"/>
    </font>
    <font>
      <sz val="9"/>
      <color rgb="FF000000"/>
      <name val="Calibri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1"/>
      <color rgb="FF000000"/>
      <name val="Calibri"/>
      <family val="2"/>
    </font>
    <font>
      <b/>
      <sz val="9"/>
      <name val="Cambria"/>
      <family val="1"/>
      <scheme val="major"/>
    </font>
    <font>
      <sz val="11"/>
      <name val="Cambria"/>
      <family val="1"/>
      <scheme val="major"/>
    </font>
    <font>
      <sz val="9"/>
      <name val="Cambria"/>
      <family val="1"/>
      <scheme val="major"/>
    </font>
    <font>
      <sz val="10"/>
      <name val="Arial"/>
      <family val="2"/>
    </font>
    <font>
      <b/>
      <sz val="14"/>
      <color indexed="8"/>
      <name val="Tahoma"/>
      <family val="2"/>
    </font>
    <font>
      <sz val="10"/>
      <name val="Arial"/>
    </font>
    <font>
      <b/>
      <sz val="11"/>
      <color indexed="8"/>
      <name val="Tahoma"/>
      <family val="2"/>
    </font>
    <font>
      <b/>
      <i/>
      <sz val="11"/>
      <color indexed="8"/>
      <name val="Tahoma"/>
      <family val="2"/>
    </font>
    <font>
      <b/>
      <sz val="10"/>
      <name val="Tahoma"/>
      <family val="2"/>
    </font>
    <font>
      <b/>
      <i/>
      <sz val="10"/>
      <color indexed="8"/>
      <name val="Tahoma"/>
      <family val="2"/>
    </font>
    <font>
      <sz val="11"/>
      <color indexed="8"/>
      <name val="Tahoma"/>
      <family val="2"/>
    </font>
    <font>
      <b/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8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b/>
      <sz val="11"/>
      <color rgb="FF000000"/>
      <name val="Calibri"/>
      <family val="2"/>
      <charset val="204"/>
    </font>
    <font>
      <b/>
      <sz val="9"/>
      <name val="Times New Roman"/>
      <family val="1"/>
    </font>
    <font>
      <i/>
      <sz val="9"/>
      <name val="Times New Roman"/>
      <family val="1"/>
    </font>
    <font>
      <b/>
      <sz val="15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7E3BB"/>
      </patternFill>
    </fill>
    <fill>
      <patternFill patternType="solid">
        <fgColor rgb="FFFBD4B4"/>
      </patternFill>
    </fill>
    <fill>
      <patternFill patternType="solid">
        <fgColor rgb="FFDAEDF3"/>
      </patternFill>
    </fill>
    <fill>
      <patternFill patternType="solid">
        <fgColor rgb="FF1F487C"/>
      </patternFill>
    </fill>
    <fill>
      <patternFill patternType="solid">
        <fgColor rgb="FFC55811"/>
      </patternFill>
    </fill>
    <fill>
      <patternFill patternType="solid">
        <fgColor rgb="FF375522"/>
      </patternFill>
    </fill>
    <fill>
      <patternFill patternType="solid">
        <fgColor rgb="FF805F00"/>
      </patternFill>
    </fill>
    <fill>
      <patternFill patternType="solid">
        <fgColor theme="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E3BB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33">
    <xf numFmtId="0" fontId="0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41" fontId="7" fillId="0" borderId="0" applyFont="0" applyFill="0" applyBorder="0" applyAlignment="0" applyProtection="0"/>
    <xf numFmtId="0" fontId="46" fillId="0" borderId="0"/>
    <xf numFmtId="0" fontId="50" fillId="0" borderId="0"/>
    <xf numFmtId="0" fontId="52" fillId="0" borderId="0"/>
    <xf numFmtId="0" fontId="50" fillId="0" borderId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557">
    <xf numFmtId="0" fontId="0" fillId="0" borderId="0" xfId="0"/>
    <xf numFmtId="0" fontId="0" fillId="3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1" xfId="1" applyFont="1" applyBorder="1" applyAlignment="1">
      <alignment horizontal="center" vertical="top"/>
    </xf>
    <xf numFmtId="164" fontId="2" fillId="4" borderId="1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64" fontId="9" fillId="3" borderId="1" xfId="1" applyFont="1" applyFill="1" applyBorder="1" applyAlignment="1">
      <alignment horizontal="center" vertical="top"/>
    </xf>
    <xf numFmtId="164" fontId="9" fillId="0" borderId="0" xfId="1" applyFont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9" fillId="0" borderId="0" xfId="0" applyFont="1" applyAlignment="1">
      <alignment horizontal="center"/>
    </xf>
    <xf numFmtId="167" fontId="3" fillId="0" borderId="1" xfId="1" applyNumberFormat="1" applyFont="1" applyBorder="1" applyAlignment="1">
      <alignment horizontal="center" vertical="top"/>
    </xf>
    <xf numFmtId="0" fontId="10" fillId="10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167" fontId="3" fillId="10" borderId="1" xfId="1" applyNumberFormat="1" applyFont="1" applyFill="1" applyBorder="1" applyAlignment="1">
      <alignment horizontal="center" vertical="top"/>
    </xf>
    <xf numFmtId="164" fontId="3" fillId="10" borderId="1" xfId="1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left" vertical="top"/>
    </xf>
    <xf numFmtId="0" fontId="0" fillId="10" borderId="0" xfId="0" applyFill="1" applyAlignment="1">
      <alignment horizontal="right" vertical="center" wrapText="1"/>
    </xf>
    <xf numFmtId="0" fontId="9" fillId="10" borderId="0" xfId="1" applyNumberFormat="1" applyFont="1" applyFill="1" applyAlignment="1">
      <alignment horizontal="center"/>
    </xf>
    <xf numFmtId="0" fontId="0" fillId="0" borderId="0" xfId="0" applyFill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top"/>
    </xf>
    <xf numFmtId="0" fontId="3" fillId="10" borderId="4" xfId="0" applyFont="1" applyFill="1" applyBorder="1" applyAlignment="1">
      <alignment horizontal="center" vertical="top"/>
    </xf>
    <xf numFmtId="0" fontId="3" fillId="1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center" vertical="top"/>
    </xf>
    <xf numFmtId="0" fontId="3" fillId="10" borderId="5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top"/>
    </xf>
    <xf numFmtId="0" fontId="3" fillId="10" borderId="6" xfId="0" applyFont="1" applyFill="1" applyBorder="1" applyAlignment="1">
      <alignment horizontal="center" vertical="top"/>
    </xf>
    <xf numFmtId="0" fontId="3" fillId="10" borderId="7" xfId="0" applyFont="1" applyFill="1" applyBorder="1" applyAlignment="1">
      <alignment horizontal="center" vertical="top"/>
    </xf>
    <xf numFmtId="0" fontId="0" fillId="0" borderId="7" xfId="0" applyFill="1" applyBorder="1" applyAlignment="1">
      <alignment horizontal="right" vertical="center" wrapText="1"/>
    </xf>
    <xf numFmtId="0" fontId="3" fillId="0" borderId="7" xfId="0" applyFont="1" applyFill="1" applyBorder="1" applyAlignment="1">
      <alignment horizontal="center" vertical="top"/>
    </xf>
    <xf numFmtId="0" fontId="0" fillId="10" borderId="7" xfId="0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7" fontId="3" fillId="0" borderId="1" xfId="1" applyNumberFormat="1" applyFont="1" applyFill="1" applyBorder="1" applyAlignment="1">
      <alignment horizontal="center" vertical="top"/>
    </xf>
    <xf numFmtId="164" fontId="3" fillId="0" borderId="1" xfId="1" applyFont="1" applyFill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164" fontId="9" fillId="3" borderId="2" xfId="1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164" fontId="2" fillId="4" borderId="6" xfId="1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10" fillId="0" borderId="7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167" fontId="3" fillId="0" borderId="7" xfId="1" applyNumberFormat="1" applyFont="1" applyFill="1" applyBorder="1" applyAlignment="1">
      <alignment horizontal="center" vertical="top"/>
    </xf>
    <xf numFmtId="167" fontId="0" fillId="0" borderId="7" xfId="1" applyNumberFormat="1" applyFont="1" applyFill="1" applyBorder="1" applyAlignment="1">
      <alignment horizontal="center" vertical="center" wrapText="1"/>
    </xf>
    <xf numFmtId="166" fontId="3" fillId="0" borderId="7" xfId="1" applyNumberFormat="1" applyFont="1" applyFill="1" applyBorder="1" applyAlignment="1">
      <alignment horizontal="center" vertical="top"/>
    </xf>
    <xf numFmtId="164" fontId="3" fillId="0" borderId="7" xfId="1" applyFont="1" applyFill="1" applyBorder="1" applyAlignment="1">
      <alignment horizontal="center" vertical="top"/>
    </xf>
    <xf numFmtId="168" fontId="3" fillId="0" borderId="7" xfId="1" applyNumberFormat="1" applyFont="1" applyFill="1" applyBorder="1" applyAlignment="1">
      <alignment horizontal="center" vertical="top"/>
    </xf>
    <xf numFmtId="0" fontId="0" fillId="0" borderId="0" xfId="0" applyFill="1"/>
    <xf numFmtId="0" fontId="3" fillId="10" borderId="2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left" vertical="top"/>
    </xf>
    <xf numFmtId="0" fontId="0" fillId="0" borderId="7" xfId="0" applyFill="1" applyBorder="1"/>
    <xf numFmtId="0" fontId="10" fillId="10" borderId="7" xfId="0" applyFont="1" applyFill="1" applyBorder="1" applyAlignment="1">
      <alignment horizontal="center" wrapText="1"/>
    </xf>
    <xf numFmtId="0" fontId="0" fillId="10" borderId="7" xfId="0" applyFill="1" applyBorder="1" applyAlignment="1">
      <alignment horizontal="center" vertical="center" wrapText="1"/>
    </xf>
    <xf numFmtId="0" fontId="9" fillId="0" borderId="7" xfId="1" applyNumberFormat="1" applyFont="1" applyFill="1" applyBorder="1" applyAlignment="1">
      <alignment horizontal="center"/>
    </xf>
    <xf numFmtId="164" fontId="9" fillId="0" borderId="7" xfId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/>
    </xf>
    <xf numFmtId="164" fontId="3" fillId="0" borderId="6" xfId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top"/>
    </xf>
    <xf numFmtId="0" fontId="9" fillId="0" borderId="0" xfId="1" applyNumberFormat="1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0" fontId="9" fillId="0" borderId="0" xfId="0" applyFont="1"/>
    <xf numFmtId="0" fontId="3" fillId="10" borderId="1" xfId="0" applyNumberFormat="1" applyFont="1" applyFill="1" applyBorder="1" applyAlignment="1">
      <alignment horizontal="center" vertical="top"/>
    </xf>
    <xf numFmtId="0" fontId="9" fillId="0" borderId="0" xfId="0" applyNumberFormat="1" applyFont="1" applyAlignment="1">
      <alignment horizontal="center"/>
    </xf>
    <xf numFmtId="0" fontId="3" fillId="0" borderId="4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167" fontId="3" fillId="0" borderId="2" xfId="1" applyNumberFormat="1" applyFont="1" applyFill="1" applyBorder="1" applyAlignment="1">
      <alignment horizontal="center" vertical="top"/>
    </xf>
    <xf numFmtId="167" fontId="3" fillId="10" borderId="7" xfId="1" applyNumberFormat="1" applyFont="1" applyFill="1" applyBorder="1" applyAlignment="1">
      <alignment horizontal="center" vertical="top"/>
    </xf>
    <xf numFmtId="0" fontId="9" fillId="1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66" fontId="0" fillId="0" borderId="0" xfId="1" applyNumberFormat="1" applyFont="1" applyFill="1"/>
    <xf numFmtId="164" fontId="0" fillId="0" borderId="0" xfId="1" applyFont="1" applyFill="1"/>
    <xf numFmtId="0" fontId="0" fillId="0" borderId="2" xfId="0" applyBorder="1" applyAlignment="1">
      <alignment horizontal="left" vertical="top"/>
    </xf>
    <xf numFmtId="164" fontId="2" fillId="4" borderId="2" xfId="1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9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7" fontId="3" fillId="10" borderId="6" xfId="1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0" borderId="0" xfId="3"/>
    <xf numFmtId="165" fontId="11" fillId="12" borderId="7" xfId="3" applyNumberFormat="1" applyFont="1" applyFill="1" applyBorder="1"/>
    <xf numFmtId="169" fontId="11" fillId="12" borderId="7" xfId="3" applyNumberFormat="1" applyFont="1" applyFill="1" applyBorder="1"/>
    <xf numFmtId="170" fontId="11" fillId="12" borderId="7" xfId="3" applyNumberFormat="1" applyFont="1" applyFill="1" applyBorder="1"/>
    <xf numFmtId="0" fontId="11" fillId="12" borderId="7" xfId="3" applyFont="1" applyFill="1" applyBorder="1"/>
    <xf numFmtId="0" fontId="12" fillId="0" borderId="7" xfId="3" applyFont="1" applyBorder="1"/>
    <xf numFmtId="171" fontId="1" fillId="0" borderId="0" xfId="3" applyNumberFormat="1"/>
    <xf numFmtId="2" fontId="11" fillId="13" borderId="7" xfId="3" applyNumberFormat="1" applyFont="1" applyFill="1" applyBorder="1"/>
    <xf numFmtId="0" fontId="11" fillId="13" borderId="7" xfId="3" applyFont="1" applyFill="1" applyBorder="1"/>
    <xf numFmtId="2" fontId="11" fillId="10" borderId="7" xfId="3" applyNumberFormat="1" applyFont="1" applyFill="1" applyBorder="1"/>
    <xf numFmtId="2" fontId="12" fillId="0" borderId="7" xfId="3" applyNumberFormat="1" applyFont="1" applyBorder="1"/>
    <xf numFmtId="2" fontId="1" fillId="0" borderId="0" xfId="3" applyNumberFormat="1"/>
    <xf numFmtId="2" fontId="13" fillId="13" borderId="7" xfId="3" applyNumberFormat="1" applyFont="1" applyFill="1" applyBorder="1"/>
    <xf numFmtId="0" fontId="13" fillId="13" borderId="7" xfId="3" applyFont="1" applyFill="1" applyBorder="1"/>
    <xf numFmtId="0" fontId="12" fillId="13" borderId="7" xfId="3" applyFont="1" applyFill="1" applyBorder="1"/>
    <xf numFmtId="2" fontId="14" fillId="10" borderId="7" xfId="3" applyNumberFormat="1" applyFont="1" applyFill="1" applyBorder="1" applyAlignment="1">
      <alignment vertical="center"/>
    </xf>
    <xf numFmtId="164" fontId="16" fillId="10" borderId="7" xfId="4" applyFont="1" applyFill="1" applyBorder="1" applyAlignment="1">
      <alignment vertical="center"/>
    </xf>
    <xf numFmtId="167" fontId="17" fillId="10" borderId="7" xfId="3" applyNumberFormat="1" applyFont="1" applyFill="1" applyBorder="1" applyAlignment="1">
      <alignment vertical="center" wrapText="1"/>
    </xf>
    <xf numFmtId="0" fontId="13" fillId="10" borderId="7" xfId="3" applyFont="1" applyFill="1" applyBorder="1"/>
    <xf numFmtId="169" fontId="13" fillId="10" borderId="7" xfId="5" applyNumberFormat="1" applyFont="1" applyFill="1" applyBorder="1"/>
    <xf numFmtId="169" fontId="13" fillId="10" borderId="7" xfId="5" applyNumberFormat="1" applyFont="1" applyFill="1" applyBorder="1" applyAlignment="1"/>
    <xf numFmtId="0" fontId="12" fillId="10" borderId="7" xfId="3" applyFont="1" applyFill="1" applyBorder="1"/>
    <xf numFmtId="2" fontId="14" fillId="13" borderId="7" xfId="3" applyNumberFormat="1" applyFont="1" applyFill="1" applyBorder="1" applyAlignment="1">
      <alignment vertical="center"/>
    </xf>
    <xf numFmtId="164" fontId="16" fillId="13" borderId="7" xfId="4" applyFont="1" applyFill="1" applyBorder="1" applyAlignment="1">
      <alignment vertical="center"/>
    </xf>
    <xf numFmtId="167" fontId="17" fillId="13" borderId="7" xfId="3" applyNumberFormat="1" applyFont="1" applyFill="1" applyBorder="1" applyAlignment="1">
      <alignment vertical="center" wrapText="1"/>
    </xf>
    <xf numFmtId="169" fontId="13" fillId="13" borderId="7" xfId="5" applyNumberFormat="1" applyFont="1" applyFill="1" applyBorder="1"/>
    <xf numFmtId="169" fontId="13" fillId="13" borderId="7" xfId="5" applyNumberFormat="1" applyFont="1" applyFill="1" applyBorder="1" applyAlignment="1"/>
    <xf numFmtId="2" fontId="16" fillId="0" borderId="7" xfId="3" applyNumberFormat="1" applyFont="1" applyBorder="1"/>
    <xf numFmtId="164" fontId="16" fillId="0" borderId="7" xfId="4" applyFont="1" applyBorder="1"/>
    <xf numFmtId="167" fontId="17" fillId="0" borderId="7" xfId="3" applyNumberFormat="1" applyFont="1" applyBorder="1" applyAlignment="1">
      <alignment vertical="center" wrapText="1"/>
    </xf>
    <xf numFmtId="164" fontId="17" fillId="0" borderId="7" xfId="4" applyFont="1" applyBorder="1"/>
    <xf numFmtId="0" fontId="17" fillId="0" borderId="7" xfId="3" applyFont="1" applyBorder="1" applyAlignment="1">
      <alignment horizontal="center" vertical="center" wrapText="1"/>
    </xf>
    <xf numFmtId="0" fontId="18" fillId="10" borderId="7" xfId="3" applyFont="1" applyFill="1" applyBorder="1"/>
    <xf numFmtId="169" fontId="18" fillId="10" borderId="7" xfId="5" applyNumberFormat="1" applyFont="1" applyFill="1" applyBorder="1"/>
    <xf numFmtId="169" fontId="18" fillId="10" borderId="7" xfId="5" applyNumberFormat="1" applyFont="1" applyFill="1" applyBorder="1" applyAlignment="1"/>
    <xf numFmtId="3" fontId="17" fillId="0" borderId="7" xfId="3" applyNumberFormat="1" applyFont="1" applyBorder="1" applyAlignment="1">
      <alignment horizontal="center" vertical="center" wrapText="1"/>
    </xf>
    <xf numFmtId="0" fontId="19" fillId="0" borderId="7" xfId="3" applyFont="1" applyBorder="1" applyAlignment="1">
      <alignment horizontal="center" vertical="center" wrapText="1"/>
    </xf>
    <xf numFmtId="0" fontId="17" fillId="0" borderId="7" xfId="3" applyFont="1" applyBorder="1" applyAlignment="1">
      <alignment horizontal="center" vertical="center"/>
    </xf>
    <xf numFmtId="0" fontId="17" fillId="0" borderId="7" xfId="3" applyFont="1" applyBorder="1" applyAlignment="1">
      <alignment horizontal="left" vertical="center"/>
    </xf>
    <xf numFmtId="0" fontId="18" fillId="0" borderId="7" xfId="3" applyFont="1" applyBorder="1"/>
    <xf numFmtId="169" fontId="18" fillId="0" borderId="7" xfId="5" applyNumberFormat="1" applyFont="1" applyBorder="1"/>
    <xf numFmtId="169" fontId="18" fillId="0" borderId="7" xfId="5" applyNumberFormat="1" applyFont="1" applyBorder="1" applyAlignment="1"/>
    <xf numFmtId="2" fontId="20" fillId="0" borderId="7" xfId="3" applyNumberFormat="1" applyFont="1" applyBorder="1" applyAlignment="1">
      <alignment vertical="center" wrapText="1"/>
    </xf>
    <xf numFmtId="164" fontId="20" fillId="0" borderId="7" xfId="3" applyNumberFormat="1" applyFont="1" applyBorder="1" applyAlignment="1">
      <alignment horizontal="center" vertical="center" wrapText="1"/>
    </xf>
    <xf numFmtId="167" fontId="17" fillId="0" borderId="7" xfId="3" applyNumberFormat="1" applyFont="1" applyBorder="1" applyAlignment="1">
      <alignment horizontal="center" vertical="center" wrapText="1"/>
    </xf>
    <xf numFmtId="0" fontId="20" fillId="0" borderId="7" xfId="3" applyFont="1" applyBorder="1" applyAlignment="1">
      <alignment horizontal="center" vertical="center" wrapText="1"/>
    </xf>
    <xf numFmtId="0" fontId="21" fillId="0" borderId="7" xfId="3" applyFont="1" applyBorder="1" applyAlignment="1">
      <alignment horizontal="center" vertical="center" wrapText="1"/>
    </xf>
    <xf numFmtId="3" fontId="20" fillId="0" borderId="7" xfId="3" applyNumberFormat="1" applyFont="1" applyBorder="1" applyAlignment="1">
      <alignment horizontal="center" vertical="center" wrapText="1"/>
    </xf>
    <xf numFmtId="3" fontId="18" fillId="0" borderId="7" xfId="3" applyNumberFormat="1" applyFont="1" applyBorder="1"/>
    <xf numFmtId="169" fontId="12" fillId="13" borderId="7" xfId="5" applyNumberFormat="1" applyFont="1" applyFill="1" applyBorder="1"/>
    <xf numFmtId="169" fontId="12" fillId="10" borderId="7" xfId="5" applyNumberFormat="1" applyFont="1" applyFill="1" applyBorder="1"/>
    <xf numFmtId="1" fontId="11" fillId="13" borderId="7" xfId="3" applyNumberFormat="1" applyFont="1" applyFill="1" applyBorder="1"/>
    <xf numFmtId="169" fontId="11" fillId="13" borderId="7" xfId="5" applyNumberFormat="1" applyFont="1" applyFill="1" applyBorder="1"/>
    <xf numFmtId="169" fontId="11" fillId="10" borderId="7" xfId="5" applyNumberFormat="1" applyFont="1" applyFill="1" applyBorder="1"/>
    <xf numFmtId="0" fontId="22" fillId="0" borderId="7" xfId="3" applyFont="1" applyBorder="1" applyAlignment="1" applyProtection="1">
      <alignment vertical="center" wrapText="1"/>
      <protection locked="0"/>
    </xf>
    <xf numFmtId="0" fontId="22" fillId="0" borderId="7" xfId="3" applyFont="1" applyBorder="1" applyAlignment="1" applyProtection="1">
      <alignment vertical="center"/>
      <protection hidden="1"/>
    </xf>
    <xf numFmtId="0" fontId="23" fillId="0" borderId="7" xfId="3" applyFont="1" applyBorder="1" applyAlignment="1" applyProtection="1">
      <alignment vertical="center"/>
      <protection hidden="1"/>
    </xf>
    <xf numFmtId="0" fontId="22" fillId="0" borderId="7" xfId="3" applyFont="1" applyBorder="1" applyAlignment="1" applyProtection="1">
      <alignment horizontal="center" vertical="center"/>
      <protection locked="0"/>
    </xf>
    <xf numFmtId="0" fontId="22" fillId="0" borderId="7" xfId="3" applyFont="1" applyBorder="1" applyAlignment="1" applyProtection="1">
      <alignment vertical="center"/>
      <protection locked="0"/>
    </xf>
    <xf numFmtId="0" fontId="11" fillId="10" borderId="7" xfId="3" applyFont="1" applyFill="1" applyBorder="1"/>
    <xf numFmtId="0" fontId="22" fillId="0" borderId="7" xfId="3" applyFont="1" applyBorder="1" applyAlignment="1" applyProtection="1">
      <alignment horizontal="center" vertical="center" wrapText="1"/>
      <protection locked="0"/>
    </xf>
    <xf numFmtId="0" fontId="24" fillId="10" borderId="7" xfId="3" applyFont="1" applyFill="1" applyBorder="1" applyAlignment="1">
      <alignment horizontal="center"/>
    </xf>
    <xf numFmtId="0" fontId="24" fillId="10" borderId="7" xfId="3" applyFont="1" applyFill="1" applyBorder="1" applyAlignment="1">
      <alignment horizontal="right"/>
    </xf>
    <xf numFmtId="0" fontId="24" fillId="10" borderId="7" xfId="3" applyFont="1" applyFill="1" applyBorder="1"/>
    <xf numFmtId="169" fontId="12" fillId="10" borderId="7" xfId="3" applyNumberFormat="1" applyFont="1" applyFill="1" applyBorder="1"/>
    <xf numFmtId="164" fontId="25" fillId="0" borderId="7" xfId="6" applyFont="1" applyBorder="1"/>
    <xf numFmtId="0" fontId="11" fillId="0" borderId="7" xfId="3" applyFont="1" applyBorder="1"/>
    <xf numFmtId="0" fontId="26" fillId="0" borderId="7" xfId="3" applyFont="1" applyBorder="1"/>
    <xf numFmtId="0" fontId="27" fillId="0" borderId="7" xfId="3" applyFont="1" applyBorder="1" applyAlignment="1">
      <alignment horizontal="center" vertical="center"/>
    </xf>
    <xf numFmtId="169" fontId="27" fillId="0" borderId="7" xfId="5" applyNumberFormat="1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169" fontId="28" fillId="0" borderId="7" xfId="5" applyNumberFormat="1" applyFont="1" applyBorder="1" applyAlignment="1">
      <alignment horizontal="center" vertical="center"/>
    </xf>
    <xf numFmtId="0" fontId="28" fillId="0" borderId="7" xfId="3" applyFont="1" applyBorder="1" applyAlignment="1">
      <alignment horizontal="center" vertical="center"/>
    </xf>
    <xf numFmtId="0" fontId="29" fillId="0" borderId="7" xfId="3" applyFont="1" applyBorder="1" applyAlignment="1">
      <alignment horizontal="left" vertical="center"/>
    </xf>
    <xf numFmtId="2" fontId="30" fillId="13" borderId="7" xfId="3" applyNumberFormat="1" applyFont="1" applyFill="1" applyBorder="1"/>
    <xf numFmtId="169" fontId="30" fillId="13" borderId="7" xfId="5" applyNumberFormat="1" applyFont="1" applyFill="1" applyBorder="1"/>
    <xf numFmtId="169" fontId="30" fillId="13" borderId="7" xfId="3" applyNumberFormat="1" applyFont="1" applyFill="1" applyBorder="1"/>
    <xf numFmtId="0" fontId="30" fillId="13" borderId="7" xfId="3" applyFont="1" applyFill="1" applyBorder="1"/>
    <xf numFmtId="2" fontId="30" fillId="10" borderId="7" xfId="3" applyNumberFormat="1" applyFont="1" applyFill="1" applyBorder="1"/>
    <xf numFmtId="169" fontId="27" fillId="10" borderId="7" xfId="5" applyNumberFormat="1" applyFont="1" applyFill="1" applyBorder="1"/>
    <xf numFmtId="169" fontId="27" fillId="0" borderId="7" xfId="5" applyNumberFormat="1" applyFont="1" applyBorder="1"/>
    <xf numFmtId="169" fontId="31" fillId="10" borderId="7" xfId="5" applyNumberFormat="1" applyFont="1" applyFill="1" applyBorder="1"/>
    <xf numFmtId="169" fontId="23" fillId="10" borderId="7" xfId="5" applyNumberFormat="1" applyFont="1" applyFill="1" applyBorder="1" applyAlignment="1"/>
    <xf numFmtId="0" fontId="27" fillId="10" borderId="7" xfId="3" applyFont="1" applyFill="1" applyBorder="1"/>
    <xf numFmtId="0" fontId="31" fillId="10" borderId="7" xfId="3" applyFont="1" applyFill="1" applyBorder="1"/>
    <xf numFmtId="0" fontId="32" fillId="0" borderId="7" xfId="3" applyFont="1" applyBorder="1"/>
    <xf numFmtId="0" fontId="32" fillId="0" borderId="7" xfId="3" applyFont="1" applyBorder="1" applyAlignment="1">
      <alignment vertical="center"/>
    </xf>
    <xf numFmtId="0" fontId="33" fillId="0" borderId="7" xfId="3" applyFont="1" applyBorder="1" applyAlignment="1">
      <alignment horizontal="center" vertical="center"/>
    </xf>
    <xf numFmtId="0" fontId="27" fillId="0" borderId="7" xfId="3" applyFont="1" applyBorder="1"/>
    <xf numFmtId="164" fontId="12" fillId="13" borderId="7" xfId="3" applyNumberFormat="1" applyFont="1" applyFill="1" applyBorder="1"/>
    <xf numFmtId="0" fontId="12" fillId="0" borderId="7" xfId="3" applyFont="1" applyBorder="1" applyAlignment="1">
      <alignment horizontal="center" vertical="center" wrapText="1"/>
    </xf>
    <xf numFmtId="1" fontId="12" fillId="0" borderId="7" xfId="3" applyNumberFormat="1" applyFont="1" applyBorder="1" applyAlignment="1">
      <alignment horizontal="center" vertical="center" wrapText="1"/>
    </xf>
    <xf numFmtId="0" fontId="24" fillId="0" borderId="7" xfId="3" applyFont="1" applyBorder="1"/>
    <xf numFmtId="164" fontId="12" fillId="0" borderId="7" xfId="6" applyFont="1" applyBorder="1"/>
    <xf numFmtId="0" fontId="12" fillId="0" borderId="7" xfId="3" applyFont="1" applyBorder="1" applyAlignment="1">
      <alignment horizontal="center"/>
    </xf>
    <xf numFmtId="164" fontId="12" fillId="0" borderId="7" xfId="3" applyNumberFormat="1" applyFont="1" applyBorder="1" applyAlignment="1">
      <alignment horizontal="center" vertical="center" wrapText="1"/>
    </xf>
    <xf numFmtId="0" fontId="34" fillId="0" borderId="7" xfId="3" applyFont="1" applyBorder="1" applyAlignment="1">
      <alignment horizontal="center" vertical="center" wrapText="1"/>
    </xf>
    <xf numFmtId="0" fontId="34" fillId="0" borderId="7" xfId="3" applyFont="1" applyBorder="1"/>
    <xf numFmtId="0" fontId="25" fillId="0" borderId="7" xfId="3" applyFont="1" applyBorder="1" applyAlignment="1">
      <alignment horizontal="center" vertical="center" wrapText="1"/>
    </xf>
    <xf numFmtId="0" fontId="25" fillId="0" borderId="7" xfId="3" applyFont="1" applyBorder="1"/>
    <xf numFmtId="1" fontId="25" fillId="0" borderId="7" xfId="3" applyNumberFormat="1" applyFont="1" applyBorder="1" applyAlignment="1">
      <alignment horizontal="center" vertical="center" wrapText="1"/>
    </xf>
    <xf numFmtId="2" fontId="11" fillId="12" borderId="7" xfId="3" applyNumberFormat="1" applyFont="1" applyFill="1" applyBorder="1"/>
    <xf numFmtId="1" fontId="12" fillId="10" borderId="7" xfId="3" applyNumberFormat="1" applyFont="1" applyFill="1" applyBorder="1"/>
    <xf numFmtId="2" fontId="12" fillId="10" borderId="7" xfId="3" applyNumberFormat="1" applyFont="1" applyFill="1" applyBorder="1"/>
    <xf numFmtId="2" fontId="35" fillId="0" borderId="7" xfId="3" applyNumberFormat="1" applyFont="1" applyBorder="1" applyAlignment="1">
      <alignment horizontal="center" vertical="center" wrapText="1"/>
    </xf>
    <xf numFmtId="164" fontId="35" fillId="0" borderId="7" xfId="3" applyNumberFormat="1" applyFont="1" applyBorder="1" applyAlignment="1">
      <alignment horizontal="center" vertical="center" wrapText="1"/>
    </xf>
    <xf numFmtId="167" fontId="35" fillId="0" borderId="7" xfId="3" applyNumberFormat="1" applyFont="1" applyBorder="1" applyAlignment="1">
      <alignment horizontal="center" vertical="center" wrapText="1"/>
    </xf>
    <xf numFmtId="0" fontId="35" fillId="0" borderId="7" xfId="3" applyFont="1" applyBorder="1" applyAlignment="1">
      <alignment horizontal="center" vertical="center" wrapText="1"/>
    </xf>
    <xf numFmtId="1" fontId="35" fillId="0" borderId="7" xfId="3" applyNumberFormat="1" applyFont="1" applyBorder="1" applyAlignment="1">
      <alignment horizontal="center" vertical="center" wrapText="1"/>
    </xf>
    <xf numFmtId="3" fontId="35" fillId="0" borderId="7" xfId="3" applyNumberFormat="1" applyFont="1" applyBorder="1" applyAlignment="1">
      <alignment horizontal="center" vertical="center" wrapText="1"/>
    </xf>
    <xf numFmtId="0" fontId="35" fillId="0" borderId="7" xfId="3" applyFont="1" applyBorder="1" applyAlignment="1">
      <alignment horizontal="left" vertical="center" wrapText="1"/>
    </xf>
    <xf numFmtId="2" fontId="11" fillId="0" borderId="7" xfId="3" applyNumberFormat="1" applyFont="1" applyBorder="1"/>
    <xf numFmtId="169" fontId="12" fillId="0" borderId="7" xfId="5" applyNumberFormat="1" applyFont="1" applyBorder="1"/>
    <xf numFmtId="0" fontId="36" fillId="0" borderId="0" xfId="3" applyFont="1"/>
    <xf numFmtId="0" fontId="13" fillId="14" borderId="7" xfId="3" applyFont="1" applyFill="1" applyBorder="1" applyAlignment="1">
      <alignment horizontal="center"/>
    </xf>
    <xf numFmtId="0" fontId="41" fillId="0" borderId="10" xfId="7" applyFont="1" applyFill="1" applyBorder="1" applyAlignment="1">
      <alignment vertical="top"/>
    </xf>
    <xf numFmtId="41" fontId="3" fillId="0" borderId="1" xfId="8" applyFont="1" applyBorder="1" applyAlignment="1">
      <alignment horizontal="left" vertical="top"/>
    </xf>
    <xf numFmtId="41" fontId="3" fillId="0" borderId="1" xfId="8" applyFont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2" xfId="0" applyFont="1" applyBorder="1" applyAlignment="1">
      <alignment horizontal="center" vertical="top"/>
    </xf>
    <xf numFmtId="0" fontId="41" fillId="0" borderId="11" xfId="7" applyFont="1" applyFill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41" fillId="0" borderId="7" xfId="7" applyFont="1" applyFill="1" applyBorder="1" applyAlignment="1">
      <alignment vertical="top"/>
    </xf>
    <xf numFmtId="41" fontId="3" fillId="0" borderId="5" xfId="8" applyFont="1" applyBorder="1" applyAlignment="1">
      <alignment horizontal="left" vertical="top"/>
    </xf>
    <xf numFmtId="41" fontId="2" fillId="4" borderId="1" xfId="8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1" fontId="0" fillId="3" borderId="1" xfId="8" applyFont="1" applyFill="1" applyBorder="1" applyAlignment="1">
      <alignment horizontal="left" vertical="top"/>
    </xf>
    <xf numFmtId="41" fontId="3" fillId="0" borderId="1" xfId="8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/>
    <xf numFmtId="0" fontId="41" fillId="0" borderId="10" xfId="7" applyFont="1" applyBorder="1" applyAlignment="1">
      <alignment vertical="top"/>
    </xf>
    <xf numFmtId="0" fontId="0" fillId="0" borderId="1" xfId="0" applyBorder="1" applyAlignment="1">
      <alignment horizontal="left" vertical="top"/>
    </xf>
    <xf numFmtId="2" fontId="2" fillId="0" borderId="1" xfId="0" applyNumberFormat="1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2" fontId="3" fillId="0" borderId="1" xfId="0" applyNumberFormat="1" applyFont="1" applyBorder="1" applyAlignment="1">
      <alignment horizontal="right" vertical="top"/>
    </xf>
    <xf numFmtId="2" fontId="3" fillId="0" borderId="1" xfId="0" applyNumberFormat="1" applyFont="1" applyBorder="1" applyAlignment="1">
      <alignment horizontal="center" vertical="top"/>
    </xf>
    <xf numFmtId="2" fontId="3" fillId="0" borderId="1" xfId="0" applyNumberFormat="1" applyFont="1" applyBorder="1" applyAlignment="1">
      <alignment vertical="top"/>
    </xf>
    <xf numFmtId="2" fontId="2" fillId="4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171" fontId="3" fillId="0" borderId="1" xfId="0" applyNumberFormat="1" applyFont="1" applyBorder="1" applyAlignment="1">
      <alignment horizontal="right" vertical="top"/>
    </xf>
    <xf numFmtId="1" fontId="3" fillId="0" borderId="1" xfId="0" applyNumberFormat="1" applyFont="1" applyBorder="1" applyAlignment="1">
      <alignment horizontal="center" vertical="top"/>
    </xf>
    <xf numFmtId="1" fontId="2" fillId="4" borderId="1" xfId="0" applyNumberFormat="1" applyFont="1" applyFill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169" fontId="2" fillId="4" borderId="1" xfId="2" applyNumberFormat="1" applyFont="1" applyFill="1" applyBorder="1" applyAlignment="1">
      <alignment horizontal="left" vertical="top"/>
    </xf>
    <xf numFmtId="2" fontId="0" fillId="0" borderId="0" xfId="0" applyNumberFormat="1" applyAlignment="1">
      <alignment horizontal="right"/>
    </xf>
    <xf numFmtId="0" fontId="0" fillId="0" borderId="0" xfId="0" applyAlignment="1"/>
    <xf numFmtId="0" fontId="48" fillId="0" borderId="0" xfId="9" applyFont="1"/>
    <xf numFmtId="0" fontId="47" fillId="0" borderId="1" xfId="9" applyFont="1" applyBorder="1" applyAlignment="1">
      <alignment horizontal="center" vertical="center" wrapText="1"/>
    </xf>
    <xf numFmtId="3" fontId="49" fillId="16" borderId="1" xfId="9" applyNumberFormat="1" applyFont="1" applyFill="1" applyBorder="1" applyAlignment="1">
      <alignment horizontal="right" vertical="top"/>
    </xf>
    <xf numFmtId="0" fontId="48" fillId="16" borderId="1" xfId="9" applyFont="1" applyFill="1" applyBorder="1" applyAlignment="1">
      <alignment horizontal="left" vertical="top"/>
    </xf>
    <xf numFmtId="10" fontId="48" fillId="16" borderId="1" xfId="9" applyNumberFormat="1" applyFont="1" applyFill="1" applyBorder="1" applyAlignment="1">
      <alignment horizontal="left" vertical="top"/>
    </xf>
    <xf numFmtId="10" fontId="48" fillId="16" borderId="1" xfId="9" applyNumberFormat="1" applyFont="1" applyFill="1" applyBorder="1" applyAlignment="1">
      <alignment horizontal="right" vertical="top"/>
    </xf>
    <xf numFmtId="0" fontId="48" fillId="16" borderId="1" xfId="9" applyFont="1" applyFill="1" applyBorder="1" applyAlignment="1">
      <alignment horizontal="center" vertical="top"/>
    </xf>
    <xf numFmtId="0" fontId="49" fillId="0" borderId="1" xfId="9" applyFont="1" applyBorder="1" applyAlignment="1">
      <alignment horizontal="left" vertical="top"/>
    </xf>
    <xf numFmtId="3" fontId="49" fillId="0" borderId="1" xfId="9" applyNumberFormat="1" applyFont="1" applyBorder="1" applyAlignment="1">
      <alignment horizontal="right"/>
    </xf>
    <xf numFmtId="10" fontId="49" fillId="0" borderId="1" xfId="9" applyNumberFormat="1" applyFont="1" applyBorder="1" applyAlignment="1">
      <alignment horizontal="right" vertical="top"/>
    </xf>
    <xf numFmtId="0" fontId="49" fillId="0" borderId="1" xfId="9" applyFont="1" applyBorder="1" applyAlignment="1">
      <alignment horizontal="center" vertical="top"/>
    </xf>
    <xf numFmtId="3" fontId="49" fillId="0" borderId="1" xfId="9" applyNumberFormat="1" applyFont="1" applyFill="1" applyBorder="1" applyAlignment="1">
      <alignment horizontal="right"/>
    </xf>
    <xf numFmtId="3" fontId="47" fillId="17" borderId="1" xfId="9" applyNumberFormat="1" applyFont="1" applyFill="1" applyBorder="1" applyAlignment="1">
      <alignment horizontal="right" vertical="top"/>
    </xf>
    <xf numFmtId="10" fontId="47" fillId="17" borderId="1" xfId="9" applyNumberFormat="1" applyFont="1" applyFill="1" applyBorder="1" applyAlignment="1">
      <alignment horizontal="right" vertical="top"/>
    </xf>
    <xf numFmtId="0" fontId="47" fillId="17" borderId="1" xfId="9" applyFont="1" applyFill="1" applyBorder="1" applyAlignment="1">
      <alignment horizontal="center" vertical="top"/>
    </xf>
    <xf numFmtId="10" fontId="49" fillId="10" borderId="1" xfId="9" applyNumberFormat="1" applyFont="1" applyFill="1" applyBorder="1" applyAlignment="1">
      <alignment horizontal="right" vertical="top"/>
    </xf>
    <xf numFmtId="0" fontId="48" fillId="0" borderId="1" xfId="9" applyFont="1" applyBorder="1" applyAlignment="1">
      <alignment horizontal="left" vertical="top"/>
    </xf>
    <xf numFmtId="0" fontId="48" fillId="0" borderId="0" xfId="9" applyFont="1" applyAlignment="1">
      <alignment horizontal="center"/>
    </xf>
    <xf numFmtId="0" fontId="52" fillId="0" borderId="0" xfId="11"/>
    <xf numFmtId="0" fontId="53" fillId="0" borderId="0" xfId="12" applyFont="1" applyFill="1" applyAlignment="1"/>
    <xf numFmtId="0" fontId="54" fillId="0" borderId="0" xfId="12" applyFont="1" applyFill="1" applyAlignment="1"/>
    <xf numFmtId="0" fontId="55" fillId="0" borderId="0" xfId="10" quotePrefix="1" applyFont="1"/>
    <xf numFmtId="0" fontId="50" fillId="0" borderId="0" xfId="10" applyFill="1"/>
    <xf numFmtId="0" fontId="56" fillId="0" borderId="0" xfId="10" applyFont="1" applyFill="1" applyAlignment="1">
      <alignment horizontal="center"/>
    </xf>
    <xf numFmtId="0" fontId="57" fillId="0" borderId="0" xfId="10" applyFont="1" applyFill="1"/>
    <xf numFmtId="0" fontId="58" fillId="0" borderId="14" xfId="10" applyFont="1" applyFill="1" applyBorder="1" applyAlignment="1">
      <alignment horizontal="left" vertical="center" wrapText="1"/>
    </xf>
    <xf numFmtId="0" fontId="59" fillId="0" borderId="14" xfId="10" quotePrefix="1" applyFont="1" applyFill="1" applyBorder="1" applyAlignment="1">
      <alignment horizontal="left" vertical="center" wrapText="1"/>
    </xf>
    <xf numFmtId="0" fontId="59" fillId="0" borderId="14" xfId="10" applyFont="1" applyFill="1" applyBorder="1" applyAlignment="1">
      <alignment horizontal="center" vertical="center" wrapText="1"/>
    </xf>
    <xf numFmtId="3" fontId="59" fillId="0" borderId="14" xfId="10" applyNumberFormat="1" applyFont="1" applyFill="1" applyBorder="1" applyAlignment="1">
      <alignment horizontal="center" vertical="center" wrapText="1"/>
    </xf>
    <xf numFmtId="3" fontId="59" fillId="0" borderId="15" xfId="10" applyNumberFormat="1" applyFont="1" applyFill="1" applyBorder="1" applyAlignment="1">
      <alignment horizontal="center" vertical="center" wrapText="1"/>
    </xf>
    <xf numFmtId="3" fontId="59" fillId="19" borderId="15" xfId="10" applyNumberFormat="1" applyFont="1" applyFill="1" applyBorder="1" applyAlignment="1">
      <alignment horizontal="center" vertical="center" textRotation="90" wrapText="1"/>
    </xf>
    <xf numFmtId="3" fontId="59" fillId="19" borderId="15" xfId="10" applyNumberFormat="1" applyFont="1" applyFill="1" applyBorder="1" applyAlignment="1">
      <alignment horizontal="center" vertical="center" wrapText="1"/>
    </xf>
    <xf numFmtId="3" fontId="59" fillId="20" borderId="15" xfId="10" applyNumberFormat="1" applyFont="1" applyFill="1" applyBorder="1" applyAlignment="1">
      <alignment horizontal="center" vertical="center" textRotation="90" wrapText="1"/>
    </xf>
    <xf numFmtId="3" fontId="59" fillId="21" borderId="15" xfId="10" applyNumberFormat="1" applyFont="1" applyFill="1" applyBorder="1" applyAlignment="1">
      <alignment horizontal="center" vertical="center" textRotation="90" wrapText="1"/>
    </xf>
    <xf numFmtId="3" fontId="59" fillId="21" borderId="16" xfId="10" applyNumberFormat="1" applyFont="1" applyFill="1" applyBorder="1" applyAlignment="1">
      <alignment horizontal="center" vertical="center" wrapText="1"/>
    </xf>
    <xf numFmtId="0" fontId="58" fillId="22" borderId="23" xfId="12" applyFont="1" applyFill="1" applyBorder="1" applyAlignment="1">
      <alignment horizontal="center"/>
    </xf>
    <xf numFmtId="0" fontId="58" fillId="22" borderId="24" xfId="12" applyFont="1" applyFill="1" applyBorder="1" applyAlignment="1">
      <alignment horizontal="center"/>
    </xf>
    <xf numFmtId="0" fontId="58" fillId="22" borderId="25" xfId="12" applyFont="1" applyFill="1" applyBorder="1" applyAlignment="1">
      <alignment horizontal="center"/>
    </xf>
    <xf numFmtId="3" fontId="60" fillId="22" borderId="24" xfId="12" applyNumberFormat="1" applyFont="1" applyFill="1" applyBorder="1" applyAlignment="1">
      <alignment horizontal="center" vertical="center"/>
    </xf>
    <xf numFmtId="3" fontId="60" fillId="22" borderId="26" xfId="12" applyNumberFormat="1" applyFont="1" applyFill="1" applyBorder="1" applyAlignment="1">
      <alignment horizontal="center" vertical="center"/>
    </xf>
    <xf numFmtId="3" fontId="60" fillId="22" borderId="27" xfId="12" applyNumberFormat="1" applyFont="1" applyFill="1" applyBorder="1" applyAlignment="1">
      <alignment horizontal="center" vertical="center"/>
    </xf>
    <xf numFmtId="0" fontId="62" fillId="0" borderId="30" xfId="11" applyFont="1" applyBorder="1"/>
    <xf numFmtId="3" fontId="61" fillId="0" borderId="7" xfId="11" applyNumberFormat="1" applyFont="1" applyBorder="1" applyAlignment="1">
      <alignment horizontal="center" vertical="center" wrapText="1"/>
    </xf>
    <xf numFmtId="3" fontId="63" fillId="0" borderId="7" xfId="13" applyNumberFormat="1" applyFont="1" applyFill="1" applyBorder="1" applyAlignment="1">
      <alignment horizontal="center" vertical="center"/>
    </xf>
    <xf numFmtId="1" fontId="62" fillId="0" borderId="7" xfId="11" applyNumberFormat="1" applyFont="1" applyBorder="1" applyAlignment="1">
      <alignment horizontal="center" vertical="center"/>
    </xf>
    <xf numFmtId="165" fontId="62" fillId="0" borderId="7" xfId="13" applyFont="1" applyBorder="1" applyAlignment="1">
      <alignment horizontal="center" vertical="center"/>
    </xf>
    <xf numFmtId="169" fontId="62" fillId="0" borderId="7" xfId="13" applyNumberFormat="1" applyFont="1" applyBorder="1" applyAlignment="1">
      <alignment horizontal="center" vertical="center"/>
    </xf>
    <xf numFmtId="3" fontId="61" fillId="10" borderId="7" xfId="10" applyNumberFormat="1" applyFont="1" applyFill="1" applyBorder="1" applyAlignment="1">
      <alignment horizontal="center" vertical="center"/>
    </xf>
    <xf numFmtId="1" fontId="61" fillId="0" borderId="7" xfId="10" applyNumberFormat="1" applyFont="1" applyFill="1" applyBorder="1" applyAlignment="1">
      <alignment horizontal="center" vertical="center"/>
    </xf>
    <xf numFmtId="1" fontId="61" fillId="0" borderId="31" xfId="10" applyNumberFormat="1" applyFont="1" applyFill="1" applyBorder="1" applyAlignment="1">
      <alignment horizontal="center" vertical="center"/>
    </xf>
    <xf numFmtId="165" fontId="61" fillId="0" borderId="32" xfId="13" applyFont="1" applyFill="1" applyBorder="1" applyAlignment="1">
      <alignment horizontal="center" vertical="center"/>
    </xf>
    <xf numFmtId="0" fontId="62" fillId="0" borderId="7" xfId="11" applyFont="1" applyBorder="1"/>
    <xf numFmtId="0" fontId="62" fillId="0" borderId="7" xfId="11" applyFont="1" applyFill="1" applyBorder="1"/>
    <xf numFmtId="0" fontId="55" fillId="0" borderId="7" xfId="11" applyFont="1" applyFill="1" applyBorder="1"/>
    <xf numFmtId="3" fontId="59" fillId="0" borderId="7" xfId="11" applyNumberFormat="1" applyFont="1" applyBorder="1" applyAlignment="1">
      <alignment horizontal="center" vertical="center" wrapText="1"/>
    </xf>
    <xf numFmtId="165" fontId="55" fillId="0" borderId="7" xfId="13" applyFont="1" applyBorder="1" applyAlignment="1">
      <alignment horizontal="center" vertical="center"/>
    </xf>
    <xf numFmtId="165" fontId="59" fillId="0" borderId="32" xfId="13" applyFont="1" applyFill="1" applyBorder="1" applyAlignment="1">
      <alignment horizontal="center" vertical="center"/>
    </xf>
    <xf numFmtId="3" fontId="64" fillId="0" borderId="7" xfId="13" applyNumberFormat="1" applyFont="1" applyFill="1" applyBorder="1" applyAlignment="1">
      <alignment horizontal="center" vertical="center"/>
    </xf>
    <xf numFmtId="0" fontId="55" fillId="0" borderId="7" xfId="11" applyFont="1" applyBorder="1"/>
    <xf numFmtId="3" fontId="65" fillId="0" borderId="7" xfId="13" applyNumberFormat="1" applyFont="1" applyFill="1" applyBorder="1" applyAlignment="1">
      <alignment horizontal="center" vertical="center"/>
    </xf>
    <xf numFmtId="1" fontId="55" fillId="0" borderId="7" xfId="11" applyNumberFormat="1" applyFont="1" applyBorder="1" applyAlignment="1">
      <alignment horizontal="center" vertical="center"/>
    </xf>
    <xf numFmtId="169" fontId="55" fillId="0" borderId="7" xfId="13" applyNumberFormat="1" applyFont="1" applyBorder="1" applyAlignment="1">
      <alignment horizontal="center" vertical="center"/>
    </xf>
    <xf numFmtId="3" fontId="59" fillId="10" borderId="7" xfId="10" applyNumberFormat="1" applyFont="1" applyFill="1" applyBorder="1" applyAlignment="1">
      <alignment horizontal="center" vertical="center"/>
    </xf>
    <xf numFmtId="1" fontId="59" fillId="0" borderId="7" xfId="10" applyNumberFormat="1" applyFont="1" applyFill="1" applyBorder="1" applyAlignment="1">
      <alignment horizontal="center" vertical="center"/>
    </xf>
    <xf numFmtId="1" fontId="59" fillId="0" borderId="31" xfId="10" applyNumberFormat="1" applyFont="1" applyFill="1" applyBorder="1" applyAlignment="1">
      <alignment horizontal="center" vertical="center"/>
    </xf>
    <xf numFmtId="0" fontId="62" fillId="10" borderId="7" xfId="11" applyFont="1" applyFill="1" applyBorder="1"/>
    <xf numFmtId="0" fontId="64" fillId="10" borderId="7" xfId="11" applyFont="1" applyFill="1" applyBorder="1" applyAlignment="1">
      <alignment vertical="center" wrapText="1"/>
    </xf>
    <xf numFmtId="0" fontId="66" fillId="10" borderId="7" xfId="11" applyFont="1" applyFill="1" applyBorder="1" applyAlignment="1">
      <alignment vertical="center" wrapText="1"/>
    </xf>
    <xf numFmtId="0" fontId="64" fillId="0" borderId="7" xfId="11" applyFont="1" applyFill="1" applyBorder="1" applyAlignment="1">
      <alignment vertical="center" wrapText="1"/>
    </xf>
    <xf numFmtId="0" fontId="66" fillId="0" borderId="7" xfId="11" applyFont="1" applyFill="1" applyBorder="1" applyAlignment="1">
      <alignment vertical="center" wrapText="1"/>
    </xf>
    <xf numFmtId="0" fontId="66" fillId="23" borderId="7" xfId="11" applyFont="1" applyFill="1" applyBorder="1" applyAlignment="1">
      <alignment vertical="center" wrapText="1"/>
    </xf>
    <xf numFmtId="0" fontId="52" fillId="0" borderId="7" xfId="11" applyBorder="1"/>
    <xf numFmtId="0" fontId="50" fillId="0" borderId="10" xfId="11" applyFont="1" applyFill="1" applyBorder="1" applyAlignment="1">
      <alignment horizontal="left"/>
    </xf>
    <xf numFmtId="165" fontId="55" fillId="0" borderId="7" xfId="13" applyFont="1" applyBorder="1" applyAlignment="1">
      <alignment horizontal="right" vertical="center"/>
    </xf>
    <xf numFmtId="3" fontId="59" fillId="0" borderId="7" xfId="11" applyNumberFormat="1" applyFont="1" applyBorder="1" applyAlignment="1">
      <alignment horizontal="right" vertical="center" wrapText="1"/>
    </xf>
    <xf numFmtId="1" fontId="62" fillId="10" borderId="7" xfId="11" applyNumberFormat="1" applyFont="1" applyFill="1" applyBorder="1" applyAlignment="1">
      <alignment horizontal="center" vertical="center"/>
    </xf>
    <xf numFmtId="0" fontId="52" fillId="0" borderId="35" xfId="11" applyBorder="1"/>
    <xf numFmtId="0" fontId="59" fillId="0" borderId="41" xfId="12" applyFont="1" applyFill="1" applyBorder="1" applyAlignment="1">
      <alignment horizontal="center" vertical="center"/>
    </xf>
    <xf numFmtId="3" fontId="59" fillId="0" borderId="23" xfId="10" applyNumberFormat="1" applyFont="1" applyFill="1" applyBorder="1" applyAlignment="1">
      <alignment horizontal="center" vertical="center"/>
    </xf>
    <xf numFmtId="0" fontId="61" fillId="0" borderId="0" xfId="12" applyFont="1" applyFill="1" applyBorder="1" applyAlignment="1">
      <alignment horizontal="center" vertical="center"/>
    </xf>
    <xf numFmtId="3" fontId="59" fillId="0" borderId="0" xfId="10" applyNumberFormat="1" applyFont="1" applyFill="1" applyBorder="1" applyAlignment="1">
      <alignment horizontal="center" vertical="center"/>
    </xf>
    <xf numFmtId="0" fontId="61" fillId="0" borderId="0" xfId="10" applyFont="1" applyFill="1"/>
    <xf numFmtId="3" fontId="59" fillId="0" borderId="0" xfId="10" applyNumberFormat="1" applyFont="1" applyFill="1"/>
    <xf numFmtId="3" fontId="55" fillId="0" borderId="0" xfId="10" applyNumberFormat="1" applyFont="1" applyFill="1" applyAlignment="1">
      <alignment horizontal="center"/>
    </xf>
    <xf numFmtId="0" fontId="55" fillId="0" borderId="0" xfId="10" applyFont="1" applyFill="1" applyAlignment="1">
      <alignment horizontal="center"/>
    </xf>
    <xf numFmtId="0" fontId="55" fillId="0" borderId="0" xfId="10" applyFont="1" applyFill="1" applyAlignment="1">
      <alignment horizontal="left"/>
    </xf>
    <xf numFmtId="0" fontId="55" fillId="0" borderId="0" xfId="10" applyFont="1" applyFill="1" applyAlignment="1">
      <alignment vertical="center" wrapText="1"/>
    </xf>
    <xf numFmtId="0" fontId="62" fillId="0" borderId="0" xfId="11" applyFont="1" applyAlignment="1">
      <alignment vertical="center" wrapText="1"/>
    </xf>
    <xf numFmtId="0" fontId="67" fillId="0" borderId="0" xfId="10" applyFont="1" applyFill="1"/>
    <xf numFmtId="0" fontId="68" fillId="0" borderId="0" xfId="10" applyFont="1" applyFill="1"/>
    <xf numFmtId="0" fontId="50" fillId="0" borderId="0" xfId="11" applyFont="1"/>
    <xf numFmtId="0" fontId="69" fillId="0" borderId="0" xfId="11" applyFont="1"/>
    <xf numFmtId="169" fontId="2" fillId="0" borderId="1" xfId="2" applyNumberFormat="1" applyFont="1" applyBorder="1" applyAlignment="1">
      <alignment horizontal="center" vertical="center" wrapText="1"/>
    </xf>
    <xf numFmtId="165" fontId="2" fillId="0" borderId="1" xfId="2" applyFont="1" applyBorder="1" applyAlignment="1">
      <alignment horizontal="center" vertical="center" wrapText="1"/>
    </xf>
    <xf numFmtId="169" fontId="3" fillId="3" borderId="2" xfId="2" applyNumberFormat="1" applyFont="1" applyFill="1" applyBorder="1" applyAlignment="1">
      <alignment horizontal="left" vertical="top"/>
    </xf>
    <xf numFmtId="165" fontId="3" fillId="3" borderId="2" xfId="2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69" fontId="3" fillId="0" borderId="7" xfId="2" applyNumberFormat="1" applyFont="1" applyBorder="1" applyAlignment="1">
      <alignment horizontal="left" vertical="top"/>
    </xf>
    <xf numFmtId="169" fontId="3" fillId="0" borderId="7" xfId="2" applyNumberFormat="1" applyFont="1" applyBorder="1" applyAlignment="1">
      <alignment horizontal="center" vertical="center"/>
    </xf>
    <xf numFmtId="165" fontId="3" fillId="0" borderId="7" xfId="2" applyFont="1" applyBorder="1" applyAlignment="1">
      <alignment horizontal="center" vertical="top"/>
    </xf>
    <xf numFmtId="3" fontId="45" fillId="10" borderId="7" xfId="21" applyNumberFormat="1" applyFont="1" applyFill="1" applyBorder="1" applyAlignment="1">
      <alignment vertical="center"/>
    </xf>
    <xf numFmtId="165" fontId="3" fillId="0" borderId="7" xfId="2" applyFont="1" applyBorder="1" applyAlignment="1">
      <alignment horizontal="left" vertical="top"/>
    </xf>
    <xf numFmtId="169" fontId="3" fillId="0" borderId="7" xfId="2" applyNumberFormat="1" applyFont="1" applyBorder="1" applyAlignment="1">
      <alignment horizontal="center" vertical="top"/>
    </xf>
    <xf numFmtId="3" fontId="45" fillId="10" borderId="7" xfId="22" applyNumberFormat="1" applyFont="1" applyFill="1" applyBorder="1" applyAlignment="1">
      <alignment vertical="center"/>
    </xf>
    <xf numFmtId="165" fontId="3" fillId="0" borderId="7" xfId="2" applyNumberFormat="1" applyFont="1" applyBorder="1" applyAlignment="1">
      <alignment horizontal="left" vertical="top"/>
    </xf>
    <xf numFmtId="0" fontId="3" fillId="0" borderId="7" xfId="0" applyFont="1" applyBorder="1" applyAlignment="1">
      <alignment horizontal="center" vertical="center"/>
    </xf>
    <xf numFmtId="169" fontId="2" fillId="4" borderId="7" xfId="2" applyNumberFormat="1" applyFont="1" applyFill="1" applyBorder="1" applyAlignment="1">
      <alignment horizontal="left" vertical="top"/>
    </xf>
    <xf numFmtId="165" fontId="2" fillId="4" borderId="7" xfId="2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169" fontId="3" fillId="3" borderId="7" xfId="2" applyNumberFormat="1" applyFont="1" applyFill="1" applyBorder="1" applyAlignment="1">
      <alignment horizontal="left" vertical="top"/>
    </xf>
    <xf numFmtId="165" fontId="3" fillId="3" borderId="7" xfId="2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41" fillId="10" borderId="7" xfId="7" applyFont="1" applyFill="1" applyBorder="1" applyAlignment="1">
      <alignment horizontal="left" vertical="center"/>
    </xf>
    <xf numFmtId="169" fontId="45" fillId="10" borderId="7" xfId="2" applyNumberFormat="1" applyFont="1" applyFill="1" applyBorder="1" applyAlignment="1">
      <alignment vertical="center"/>
    </xf>
    <xf numFmtId="3" fontId="45" fillId="10" borderId="7" xfId="23" applyNumberFormat="1" applyFont="1" applyFill="1" applyBorder="1" applyAlignment="1">
      <alignment vertical="center"/>
    </xf>
    <xf numFmtId="169" fontId="41" fillId="0" borderId="7" xfId="2" applyNumberFormat="1" applyFont="1" applyBorder="1"/>
    <xf numFmtId="169" fontId="41" fillId="10" borderId="7" xfId="2" applyNumberFormat="1" applyFont="1" applyFill="1" applyBorder="1" applyAlignment="1">
      <alignment vertical="center"/>
    </xf>
    <xf numFmtId="0" fontId="70" fillId="0" borderId="0" xfId="0" applyFont="1"/>
    <xf numFmtId="0" fontId="41" fillId="10" borderId="7" xfId="24" applyFont="1" applyFill="1" applyBorder="1" applyAlignment="1">
      <alignment horizontal="left" vertical="center"/>
    </xf>
    <xf numFmtId="3" fontId="45" fillId="10" borderId="7" xfId="25" applyNumberFormat="1" applyFont="1" applyFill="1" applyBorder="1" applyAlignment="1">
      <alignment vertical="center"/>
    </xf>
    <xf numFmtId="169" fontId="2" fillId="24" borderId="7" xfId="2" applyNumberFormat="1" applyFont="1" applyFill="1" applyBorder="1" applyAlignment="1">
      <alignment horizontal="center" vertical="top"/>
    </xf>
    <xf numFmtId="169" fontId="71" fillId="24" borderId="7" xfId="2" applyNumberFormat="1" applyFont="1" applyFill="1" applyBorder="1" applyAlignment="1">
      <alignment vertical="center"/>
    </xf>
    <xf numFmtId="165" fontId="2" fillId="24" borderId="7" xfId="2" applyFont="1" applyFill="1" applyBorder="1" applyAlignment="1">
      <alignment horizontal="center" vertical="top"/>
    </xf>
    <xf numFmtId="0" fontId="2" fillId="24" borderId="7" xfId="0" applyFont="1" applyFill="1" applyBorder="1" applyAlignment="1">
      <alignment horizontal="center" vertical="top"/>
    </xf>
    <xf numFmtId="0" fontId="45" fillId="0" borderId="7" xfId="26" applyFont="1" applyBorder="1" applyAlignment="1">
      <alignment horizontal="center" vertical="center"/>
    </xf>
    <xf numFmtId="0" fontId="41" fillId="10" borderId="7" xfId="26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top"/>
    </xf>
    <xf numFmtId="0" fontId="45" fillId="0" borderId="7" xfId="27" applyFont="1" applyBorder="1" applyAlignment="1">
      <alignment horizontal="center" vertical="center"/>
    </xf>
    <xf numFmtId="0" fontId="41" fillId="10" borderId="7" xfId="27" applyFont="1" applyFill="1" applyBorder="1" applyAlignment="1">
      <alignment horizontal="left" vertical="center"/>
    </xf>
    <xf numFmtId="169" fontId="2" fillId="4" borderId="7" xfId="2" applyNumberFormat="1" applyFont="1" applyFill="1" applyBorder="1" applyAlignment="1">
      <alignment horizontal="center" vertical="top"/>
    </xf>
    <xf numFmtId="0" fontId="45" fillId="0" borderId="7" xfId="28" applyFont="1" applyBorder="1" applyAlignment="1">
      <alignment horizontal="center" vertical="center"/>
    </xf>
    <xf numFmtId="0" fontId="41" fillId="10" borderId="7" xfId="28" applyFont="1" applyFill="1" applyBorder="1" applyAlignment="1">
      <alignment horizontal="left" vertical="center"/>
    </xf>
    <xf numFmtId="0" fontId="45" fillId="0" borderId="7" xfId="29" applyFont="1" applyBorder="1" applyAlignment="1">
      <alignment horizontal="center" vertical="center"/>
    </xf>
    <xf numFmtId="0" fontId="41" fillId="10" borderId="7" xfId="29" applyFont="1" applyFill="1" applyBorder="1" applyAlignment="1">
      <alignment horizontal="left" vertical="center"/>
    </xf>
    <xf numFmtId="3" fontId="2" fillId="24" borderId="7" xfId="0" applyNumberFormat="1" applyFont="1" applyFill="1" applyBorder="1" applyAlignment="1">
      <alignment horizontal="center" vertical="top"/>
    </xf>
    <xf numFmtId="0" fontId="45" fillId="0" borderId="7" xfId="30" applyFont="1" applyBorder="1" applyAlignment="1">
      <alignment horizontal="center" vertical="center"/>
    </xf>
    <xf numFmtId="0" fontId="41" fillId="10" borderId="7" xfId="30" applyFont="1" applyFill="1" applyBorder="1" applyAlignment="1">
      <alignment horizontal="left" vertical="center"/>
    </xf>
    <xf numFmtId="0" fontId="45" fillId="0" borderId="7" xfId="31" applyFont="1" applyBorder="1" applyAlignment="1">
      <alignment horizontal="center" vertical="center"/>
    </xf>
    <xf numFmtId="0" fontId="41" fillId="10" borderId="7" xfId="31" applyFont="1" applyFill="1" applyBorder="1" applyAlignment="1">
      <alignment horizontal="left" vertical="center"/>
    </xf>
    <xf numFmtId="0" fontId="45" fillId="0" borderId="7" xfId="32" applyFont="1" applyBorder="1" applyAlignment="1">
      <alignment horizontal="center" vertical="center"/>
    </xf>
    <xf numFmtId="0" fontId="41" fillId="10" borderId="7" xfId="32" applyFont="1" applyFill="1" applyBorder="1" applyAlignment="1">
      <alignment horizontal="left" vertical="center"/>
    </xf>
    <xf numFmtId="0" fontId="45" fillId="0" borderId="7" xfId="33" applyFont="1" applyBorder="1" applyAlignment="1">
      <alignment horizontal="center" vertical="center"/>
    </xf>
    <xf numFmtId="0" fontId="41" fillId="10" borderId="7" xfId="33" applyFont="1" applyFill="1" applyBorder="1" applyAlignment="1">
      <alignment horizontal="left" vertical="center"/>
    </xf>
    <xf numFmtId="0" fontId="45" fillId="10" borderId="7" xfId="34" applyFont="1" applyFill="1" applyBorder="1" applyAlignment="1">
      <alignment horizontal="center" vertical="center"/>
    </xf>
    <xf numFmtId="0" fontId="41" fillId="10" borderId="7" xfId="34" applyFont="1" applyFill="1" applyBorder="1" applyAlignment="1">
      <alignment horizontal="left" vertical="center"/>
    </xf>
    <xf numFmtId="0" fontId="41" fillId="0" borderId="7" xfId="35" applyFont="1" applyBorder="1" applyAlignment="1">
      <alignment horizontal="center" vertical="center"/>
    </xf>
    <xf numFmtId="0" fontId="41" fillId="10" borderId="7" xfId="35" applyFont="1" applyFill="1" applyBorder="1" applyAlignment="1">
      <alignment horizontal="left" vertical="center"/>
    </xf>
    <xf numFmtId="0" fontId="45" fillId="0" borderId="7" xfId="36" applyFont="1" applyBorder="1" applyAlignment="1">
      <alignment horizontal="center" vertical="center"/>
    </xf>
    <xf numFmtId="0" fontId="41" fillId="10" borderId="7" xfId="36" applyFont="1" applyFill="1" applyBorder="1" applyAlignment="1">
      <alignment horizontal="left" vertical="center"/>
    </xf>
    <xf numFmtId="0" fontId="45" fillId="0" borderId="7" xfId="37" applyFont="1" applyBorder="1" applyAlignment="1">
      <alignment horizontal="center" vertical="center"/>
    </xf>
    <xf numFmtId="0" fontId="41" fillId="10" borderId="7" xfId="37" applyFont="1" applyFill="1" applyBorder="1" applyAlignment="1">
      <alignment horizontal="left" vertical="center"/>
    </xf>
    <xf numFmtId="0" fontId="45" fillId="10" borderId="7" xfId="37" applyFont="1" applyFill="1" applyBorder="1" applyAlignment="1">
      <alignment horizontal="center" vertical="center"/>
    </xf>
    <xf numFmtId="165" fontId="71" fillId="24" borderId="7" xfId="2" applyFont="1" applyFill="1" applyBorder="1" applyAlignment="1">
      <alignment vertical="center"/>
    </xf>
    <xf numFmtId="0" fontId="45" fillId="0" borderId="7" xfId="38" applyFont="1" applyBorder="1" applyAlignment="1">
      <alignment horizontal="center" vertical="center"/>
    </xf>
    <xf numFmtId="0" fontId="41" fillId="10" borderId="7" xfId="38" applyFont="1" applyFill="1" applyBorder="1" applyAlignment="1">
      <alignment horizontal="left" vertical="center"/>
    </xf>
    <xf numFmtId="3" fontId="45" fillId="10" borderId="7" xfId="39" applyNumberFormat="1" applyFont="1" applyFill="1" applyBorder="1" applyAlignment="1">
      <alignment vertical="center"/>
    </xf>
    <xf numFmtId="0" fontId="45" fillId="0" borderId="7" xfId="40" applyFont="1" applyBorder="1" applyAlignment="1">
      <alignment horizontal="center" vertical="center"/>
    </xf>
    <xf numFmtId="0" fontId="41" fillId="10" borderId="7" xfId="40" applyFont="1" applyFill="1" applyBorder="1" applyAlignment="1">
      <alignment horizontal="left" vertical="center"/>
    </xf>
    <xf numFmtId="3" fontId="45" fillId="10" borderId="7" xfId="41" applyNumberFormat="1" applyFont="1" applyFill="1" applyBorder="1" applyAlignment="1">
      <alignment vertical="center"/>
    </xf>
    <xf numFmtId="0" fontId="45" fillId="10" borderId="7" xfId="40" applyFont="1" applyFill="1" applyBorder="1" applyAlignment="1">
      <alignment horizontal="center" vertical="center"/>
    </xf>
    <xf numFmtId="0" fontId="72" fillId="10" borderId="7" xfId="42" applyFont="1" applyFill="1" applyBorder="1" applyAlignment="1">
      <alignment horizontal="center" vertical="center"/>
    </xf>
    <xf numFmtId="0" fontId="41" fillId="10" borderId="7" xfId="42" applyFont="1" applyFill="1" applyBorder="1" applyAlignment="1">
      <alignment horizontal="left" vertical="center"/>
    </xf>
    <xf numFmtId="3" fontId="45" fillId="10" borderId="7" xfId="43" applyNumberFormat="1" applyFont="1" applyFill="1" applyBorder="1" applyAlignment="1">
      <alignment vertical="center"/>
    </xf>
    <xf numFmtId="0" fontId="45" fillId="10" borderId="7" xfId="42" applyFont="1" applyFill="1" applyBorder="1" applyAlignment="1">
      <alignment horizontal="center" vertical="center"/>
    </xf>
    <xf numFmtId="0" fontId="41" fillId="10" borderId="7" xfId="44" applyFont="1" applyFill="1" applyBorder="1" applyAlignment="1">
      <alignment horizontal="left" vertical="center"/>
    </xf>
    <xf numFmtId="3" fontId="45" fillId="10" borderId="7" xfId="45" applyNumberFormat="1" applyFont="1" applyFill="1" applyBorder="1" applyAlignment="1">
      <alignment vertical="center"/>
    </xf>
    <xf numFmtId="0" fontId="45" fillId="0" borderId="7" xfId="46" applyFont="1" applyBorder="1" applyAlignment="1">
      <alignment vertical="center"/>
    </xf>
    <xf numFmtId="0" fontId="41" fillId="10" borderId="7" xfId="46" applyFont="1" applyFill="1" applyBorder="1" applyAlignment="1">
      <alignment vertical="center"/>
    </xf>
    <xf numFmtId="3" fontId="45" fillId="10" borderId="7" xfId="47" applyNumberFormat="1" applyFont="1" applyFill="1" applyBorder="1" applyAlignment="1">
      <alignment vertical="center"/>
    </xf>
    <xf numFmtId="0" fontId="45" fillId="10" borderId="7" xfId="46" applyFont="1" applyFill="1" applyBorder="1" applyAlignment="1">
      <alignment vertical="center"/>
    </xf>
    <xf numFmtId="0" fontId="41" fillId="10" borderId="7" xfId="46" applyFont="1" applyFill="1" applyBorder="1" applyAlignment="1">
      <alignment horizontal="left" vertical="center"/>
    </xf>
    <xf numFmtId="0" fontId="45" fillId="10" borderId="7" xfId="48" applyFont="1" applyFill="1" applyBorder="1" applyAlignment="1">
      <alignment horizontal="center" vertical="center"/>
    </xf>
    <xf numFmtId="0" fontId="41" fillId="10" borderId="7" xfId="48" applyFont="1" applyFill="1" applyBorder="1" applyAlignment="1">
      <alignment horizontal="left" vertical="center"/>
    </xf>
    <xf numFmtId="3" fontId="45" fillId="10" borderId="7" xfId="49" applyNumberFormat="1" applyFont="1" applyFill="1" applyBorder="1" applyAlignment="1">
      <alignment vertical="center"/>
    </xf>
    <xf numFmtId="0" fontId="45" fillId="10" borderId="7" xfId="50" applyFont="1" applyFill="1" applyBorder="1" applyAlignment="1">
      <alignment horizontal="center" vertical="center"/>
    </xf>
    <xf numFmtId="0" fontId="41" fillId="10" borderId="7" xfId="50" applyFont="1" applyFill="1" applyBorder="1" applyAlignment="1">
      <alignment horizontal="left" vertical="center"/>
    </xf>
    <xf numFmtId="3" fontId="45" fillId="10" borderId="7" xfId="51" applyNumberFormat="1" applyFont="1" applyFill="1" applyBorder="1" applyAlignment="1">
      <alignment vertical="center"/>
    </xf>
    <xf numFmtId="0" fontId="41" fillId="10" borderId="7" xfId="50" applyFont="1" applyFill="1" applyBorder="1" applyAlignment="1">
      <alignment vertical="center" wrapText="1"/>
    </xf>
    <xf numFmtId="0" fontId="41" fillId="10" borderId="7" xfId="50" applyFont="1" applyFill="1" applyBorder="1" applyAlignment="1">
      <alignment vertical="top" wrapText="1"/>
    </xf>
    <xf numFmtId="165" fontId="45" fillId="10" borderId="7" xfId="2" applyFont="1" applyFill="1" applyBorder="1" applyAlignment="1">
      <alignment vertical="center"/>
    </xf>
    <xf numFmtId="0" fontId="45" fillId="10" borderId="7" xfId="52" applyFont="1" applyFill="1" applyBorder="1" applyAlignment="1">
      <alignment horizontal="center" vertical="center"/>
    </xf>
    <xf numFmtId="0" fontId="41" fillId="10" borderId="7" xfId="52" applyFont="1" applyFill="1" applyBorder="1" applyAlignment="1">
      <alignment horizontal="left" vertical="center"/>
    </xf>
    <xf numFmtId="3" fontId="45" fillId="10" borderId="7" xfId="53" applyNumberFormat="1" applyFont="1" applyFill="1" applyBorder="1" applyAlignment="1">
      <alignment vertical="center"/>
    </xf>
    <xf numFmtId="0" fontId="45" fillId="10" borderId="7" xfId="54" applyFont="1" applyFill="1" applyBorder="1" applyAlignment="1">
      <alignment horizontal="center" vertical="center"/>
    </xf>
    <xf numFmtId="0" fontId="41" fillId="10" borderId="7" xfId="54" applyFont="1" applyFill="1" applyBorder="1" applyAlignment="1">
      <alignment horizontal="left" vertical="center"/>
    </xf>
    <xf numFmtId="3" fontId="45" fillId="10" borderId="7" xfId="55" applyNumberFormat="1" applyFont="1" applyFill="1" applyBorder="1" applyAlignment="1">
      <alignment vertical="center"/>
    </xf>
    <xf numFmtId="0" fontId="41" fillId="10" borderId="7" xfId="54" applyFont="1" applyFill="1" applyBorder="1" applyAlignment="1">
      <alignment vertical="justify" wrapText="1"/>
    </xf>
    <xf numFmtId="0" fontId="41" fillId="10" borderId="7" xfId="54" applyFont="1" applyFill="1" applyBorder="1" applyAlignment="1">
      <alignment vertical="top" wrapText="1"/>
    </xf>
    <xf numFmtId="0" fontId="45" fillId="0" borderId="7" xfId="56" applyFont="1" applyBorder="1" applyAlignment="1">
      <alignment vertical="center"/>
    </xf>
    <xf numFmtId="0" fontId="41" fillId="10" borderId="7" xfId="56" applyFont="1" applyFill="1" applyBorder="1" applyAlignment="1">
      <alignment vertical="center"/>
    </xf>
    <xf numFmtId="3" fontId="45" fillId="10" borderId="7" xfId="57" applyNumberFormat="1" applyFont="1" applyFill="1" applyBorder="1" applyAlignment="1">
      <alignment vertical="center"/>
    </xf>
    <xf numFmtId="0" fontId="41" fillId="0" borderId="7" xfId="56" applyFont="1" applyBorder="1" applyAlignment="1">
      <alignment horizontal="left" vertical="center"/>
    </xf>
    <xf numFmtId="165" fontId="2" fillId="4" borderId="7" xfId="2" applyFont="1" applyFill="1" applyBorder="1" applyAlignment="1">
      <alignment horizontal="center" vertical="top"/>
    </xf>
    <xf numFmtId="169" fontId="3" fillId="0" borderId="0" xfId="2" applyNumberFormat="1" applyFont="1"/>
    <xf numFmtId="165" fontId="3" fillId="0" borderId="0" xfId="2" applyFont="1"/>
    <xf numFmtId="0" fontId="3" fillId="23" borderId="1" xfId="0" applyFont="1" applyFill="1" applyBorder="1" applyAlignment="1">
      <alignment horizontal="center" vertical="top"/>
    </xf>
    <xf numFmtId="0" fontId="3" fillId="23" borderId="1" xfId="0" applyFont="1" applyFill="1" applyBorder="1" applyAlignment="1">
      <alignment horizontal="left" vertical="top"/>
    </xf>
    <xf numFmtId="0" fontId="3" fillId="23" borderId="1" xfId="0" applyFont="1" applyFill="1" applyBorder="1" applyAlignment="1">
      <alignment horizontal="right" vertical="top"/>
    </xf>
    <xf numFmtId="2" fontId="3" fillId="23" borderId="1" xfId="0" applyNumberFormat="1" applyFont="1" applyFill="1" applyBorder="1" applyAlignment="1">
      <alignment horizontal="right" vertical="top"/>
    </xf>
    <xf numFmtId="2" fontId="3" fillId="23" borderId="1" xfId="0" applyNumberFormat="1" applyFont="1" applyFill="1" applyBorder="1" applyAlignment="1">
      <alignment horizontal="center" vertical="top"/>
    </xf>
    <xf numFmtId="2" fontId="3" fillId="23" borderId="1" xfId="0" applyNumberFormat="1" applyFont="1" applyFill="1" applyBorder="1" applyAlignment="1">
      <alignment horizontal="left" vertical="top"/>
    </xf>
    <xf numFmtId="2" fontId="3" fillId="23" borderId="1" xfId="0" applyNumberFormat="1" applyFont="1" applyFill="1" applyBorder="1" applyAlignment="1">
      <alignment vertical="top"/>
    </xf>
    <xf numFmtId="0" fontId="42" fillId="23" borderId="1" xfId="0" applyFont="1" applyFill="1" applyBorder="1" applyAlignment="1">
      <alignment horizontal="center" vertical="top"/>
    </xf>
    <xf numFmtId="171" fontId="3" fillId="23" borderId="1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2" fontId="3" fillId="25" borderId="1" xfId="0" applyNumberFormat="1" applyFont="1" applyFill="1" applyBorder="1" applyAlignment="1">
      <alignment horizontal="left" vertical="top"/>
    </xf>
    <xf numFmtId="0" fontId="0" fillId="25" borderId="0" xfId="0" applyFill="1"/>
    <xf numFmtId="0" fontId="73" fillId="25" borderId="0" xfId="0" applyFont="1" applyFill="1" applyAlignment="1">
      <alignment horizontal="center"/>
    </xf>
    <xf numFmtId="0" fontId="5" fillId="7" borderId="3" xfId="0" applyFont="1" applyFill="1" applyBorder="1" applyAlignment="1">
      <alignment horizontal="left" vertical="top"/>
    </xf>
    <xf numFmtId="0" fontId="5" fillId="8" borderId="3" xfId="0" applyFont="1" applyFill="1" applyBorder="1" applyAlignment="1">
      <alignment horizontal="left" vertical="top"/>
    </xf>
    <xf numFmtId="0" fontId="5" fillId="9" borderId="3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40" fillId="0" borderId="0" xfId="3" applyFont="1" applyAlignment="1">
      <alignment horizontal="center" vertical="center"/>
    </xf>
    <xf numFmtId="0" fontId="38" fillId="0" borderId="7" xfId="3" applyFont="1" applyBorder="1" applyAlignment="1">
      <alignment horizontal="center" vertical="center" wrapText="1"/>
    </xf>
    <xf numFmtId="0" fontId="38" fillId="0" borderId="7" xfId="3" applyFont="1" applyBorder="1" applyAlignment="1">
      <alignment horizontal="center" vertical="center" textRotation="90" wrapText="1"/>
    </xf>
    <xf numFmtId="0" fontId="40" fillId="0" borderId="7" xfId="3" applyFont="1" applyBorder="1" applyAlignment="1">
      <alignment horizontal="center" vertical="center" wrapText="1"/>
    </xf>
    <xf numFmtId="0" fontId="39" fillId="0" borderId="7" xfId="3" applyFont="1" applyBorder="1" applyAlignment="1">
      <alignment horizontal="center" vertical="center" wrapText="1"/>
    </xf>
    <xf numFmtId="0" fontId="37" fillId="0" borderId="7" xfId="3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47" fillId="15" borderId="1" xfId="9" applyFont="1" applyFill="1" applyBorder="1" applyAlignment="1">
      <alignment horizontal="center" vertical="center" wrapText="1"/>
    </xf>
    <xf numFmtId="0" fontId="48" fillId="0" borderId="0" xfId="9" applyFont="1" applyBorder="1" applyAlignment="1">
      <alignment horizontal="center" vertical="center" wrapText="1"/>
    </xf>
    <xf numFmtId="0" fontId="47" fillId="15" borderId="2" xfId="9" applyFont="1" applyFill="1" applyBorder="1" applyAlignment="1">
      <alignment horizontal="center" vertical="center" wrapText="1"/>
    </xf>
    <xf numFmtId="0" fontId="48" fillId="0" borderId="13" xfId="9" applyFont="1" applyBorder="1" applyAlignment="1">
      <alignment horizontal="center" vertical="center" wrapText="1"/>
    </xf>
    <xf numFmtId="0" fontId="49" fillId="0" borderId="1" xfId="9" applyFont="1" applyBorder="1" applyAlignment="1">
      <alignment horizontal="center" vertical="center" wrapText="1"/>
    </xf>
    <xf numFmtId="0" fontId="47" fillId="16" borderId="1" xfId="9" applyFont="1" applyFill="1" applyBorder="1" applyAlignment="1">
      <alignment horizontal="left" vertical="top"/>
    </xf>
    <xf numFmtId="0" fontId="47" fillId="17" borderId="1" xfId="9" applyFont="1" applyFill="1" applyBorder="1" applyAlignment="1">
      <alignment horizontal="center" vertical="top"/>
    </xf>
    <xf numFmtId="0" fontId="47" fillId="17" borderId="1" xfId="9" applyFont="1" applyFill="1" applyBorder="1" applyAlignment="1">
      <alignment horizontal="left" vertical="top"/>
    </xf>
    <xf numFmtId="0" fontId="55" fillId="0" borderId="0" xfId="10" applyFont="1" applyFill="1" applyAlignment="1">
      <alignment horizontal="left" vertical="center" wrapText="1"/>
    </xf>
    <xf numFmtId="0" fontId="62" fillId="0" borderId="0" xfId="11" applyFont="1" applyAlignment="1">
      <alignment horizontal="left" vertical="center" wrapText="1"/>
    </xf>
    <xf numFmtId="0" fontId="59" fillId="0" borderId="0" xfId="10" applyFont="1" applyFill="1" applyBorder="1" applyAlignment="1">
      <alignment horizontal="center" vertical="center"/>
    </xf>
    <xf numFmtId="0" fontId="55" fillId="22" borderId="0" xfId="10" applyFont="1" applyFill="1" applyBorder="1" applyAlignment="1">
      <alignment horizontal="center" vertical="center"/>
    </xf>
    <xf numFmtId="0" fontId="61" fillId="0" borderId="33" xfId="10" applyFont="1" applyFill="1" applyBorder="1" applyAlignment="1">
      <alignment horizontal="center" vertical="center"/>
    </xf>
    <xf numFmtId="0" fontId="61" fillId="0" borderId="38" xfId="10" applyFont="1" applyFill="1" applyBorder="1" applyAlignment="1">
      <alignment horizontal="center" vertical="center"/>
    </xf>
    <xf numFmtId="0" fontId="62" fillId="0" borderId="35" xfId="11" applyFont="1" applyBorder="1" applyAlignment="1">
      <alignment horizontal="center" vertical="center" wrapText="1"/>
    </xf>
    <xf numFmtId="0" fontId="62" fillId="0" borderId="34" xfId="11" applyFont="1" applyBorder="1" applyAlignment="1">
      <alignment horizontal="center" vertical="center" wrapText="1"/>
    </xf>
    <xf numFmtId="0" fontId="62" fillId="0" borderId="39" xfId="11" applyFont="1" applyBorder="1" applyAlignment="1">
      <alignment horizontal="center" vertical="center" wrapText="1"/>
    </xf>
    <xf numFmtId="0" fontId="62" fillId="0" borderId="30" xfId="11" applyFont="1" applyBorder="1" applyAlignment="1">
      <alignment horizontal="center" vertical="center" wrapText="1"/>
    </xf>
    <xf numFmtId="0" fontId="59" fillId="0" borderId="40" xfId="12" applyFont="1" applyFill="1" applyBorder="1" applyAlignment="1">
      <alignment horizontal="center" vertical="center"/>
    </xf>
    <xf numFmtId="0" fontId="59" fillId="0" borderId="41" xfId="12" applyFont="1" applyFill="1" applyBorder="1" applyAlignment="1">
      <alignment horizontal="center" vertical="center"/>
    </xf>
    <xf numFmtId="0" fontId="55" fillId="0" borderId="0" xfId="10" applyFont="1" applyFill="1" applyAlignment="1">
      <alignment horizontal="left"/>
    </xf>
    <xf numFmtId="0" fontId="61" fillId="0" borderId="36" xfId="10" applyFont="1" applyFill="1" applyBorder="1" applyAlignment="1">
      <alignment horizontal="center" vertical="center"/>
    </xf>
    <xf numFmtId="0" fontId="61" fillId="0" borderId="37" xfId="10" applyFont="1" applyFill="1" applyBorder="1" applyAlignment="1">
      <alignment horizontal="center" vertical="center"/>
    </xf>
    <xf numFmtId="0" fontId="62" fillId="23" borderId="35" xfId="11" applyFont="1" applyFill="1" applyBorder="1" applyAlignment="1">
      <alignment horizontal="center" vertical="center" wrapText="1"/>
    </xf>
    <xf numFmtId="0" fontId="62" fillId="23" borderId="34" xfId="11" applyFont="1" applyFill="1" applyBorder="1" applyAlignment="1">
      <alignment horizontal="center" vertical="center" wrapText="1"/>
    </xf>
    <xf numFmtId="0" fontId="62" fillId="23" borderId="30" xfId="11" applyFont="1" applyFill="1" applyBorder="1" applyAlignment="1">
      <alignment horizontal="center" vertical="center" wrapText="1"/>
    </xf>
    <xf numFmtId="3" fontId="59" fillId="19" borderId="16" xfId="10" applyNumberFormat="1" applyFont="1" applyFill="1" applyBorder="1" applyAlignment="1">
      <alignment horizontal="center" vertical="center" wrapText="1"/>
    </xf>
    <xf numFmtId="3" fontId="59" fillId="19" borderId="19" xfId="10" applyNumberFormat="1" applyFont="1" applyFill="1" applyBorder="1" applyAlignment="1">
      <alignment horizontal="center" vertical="center" wrapText="1"/>
    </xf>
    <xf numFmtId="3" fontId="59" fillId="19" borderId="22" xfId="10" applyNumberFormat="1" applyFont="1" applyFill="1" applyBorder="1" applyAlignment="1">
      <alignment horizontal="center" vertical="center" wrapText="1"/>
    </xf>
    <xf numFmtId="3" fontId="59" fillId="20" borderId="15" xfId="10" applyNumberFormat="1" applyFont="1" applyFill="1" applyBorder="1" applyAlignment="1">
      <alignment horizontal="center" vertical="center" wrapText="1"/>
    </xf>
    <xf numFmtId="3" fontId="59" fillId="21" borderId="15" xfId="10" applyNumberFormat="1" applyFont="1" applyFill="1" applyBorder="1" applyAlignment="1">
      <alignment horizontal="center" vertical="center" wrapText="1"/>
    </xf>
    <xf numFmtId="0" fontId="61" fillId="0" borderId="28" xfId="10" applyFont="1" applyFill="1" applyBorder="1" applyAlignment="1">
      <alignment horizontal="center" vertical="center"/>
    </xf>
    <xf numFmtId="0" fontId="62" fillId="0" borderId="29" xfId="11" applyFont="1" applyBorder="1" applyAlignment="1">
      <alignment horizontal="center" vertical="center" wrapText="1"/>
    </xf>
    <xf numFmtId="0" fontId="51" fillId="0" borderId="0" xfId="10" applyFont="1" applyFill="1" applyAlignment="1">
      <alignment horizontal="center" vertical="center"/>
    </xf>
    <xf numFmtId="0" fontId="51" fillId="0" borderId="0" xfId="10" applyFont="1" applyFill="1" applyAlignment="1">
      <alignment horizontal="center"/>
    </xf>
    <xf numFmtId="0" fontId="53" fillId="0" borderId="0" xfId="12" applyFont="1" applyFill="1" applyAlignment="1">
      <alignment horizontal="center"/>
    </xf>
    <xf numFmtId="0" fontId="58" fillId="0" borderId="14" xfId="10" applyFont="1" applyFill="1" applyBorder="1" applyAlignment="1">
      <alignment horizontal="left" vertical="center" wrapText="1"/>
    </xf>
    <xf numFmtId="0" fontId="58" fillId="0" borderId="15" xfId="10" applyFont="1" applyFill="1" applyBorder="1" applyAlignment="1">
      <alignment horizontal="center" vertical="center" wrapText="1"/>
    </xf>
    <xf numFmtId="0" fontId="59" fillId="0" borderId="15" xfId="10" applyFont="1" applyFill="1" applyBorder="1" applyAlignment="1">
      <alignment horizontal="center" vertical="center" wrapText="1"/>
    </xf>
    <xf numFmtId="3" fontId="59" fillId="18" borderId="15" xfId="10" applyNumberFormat="1" applyFont="1" applyFill="1" applyBorder="1" applyAlignment="1">
      <alignment horizontal="center" vertical="center" wrapText="1"/>
    </xf>
    <xf numFmtId="0" fontId="52" fillId="0" borderId="15" xfId="11" applyBorder="1"/>
    <xf numFmtId="3" fontId="59" fillId="21" borderId="17" xfId="10" applyNumberFormat="1" applyFont="1" applyFill="1" applyBorder="1" applyAlignment="1">
      <alignment horizontal="center" vertical="center" wrapText="1"/>
    </xf>
    <xf numFmtId="3" fontId="59" fillId="21" borderId="18" xfId="10" applyNumberFormat="1" applyFont="1" applyFill="1" applyBorder="1" applyAlignment="1">
      <alignment horizontal="center" vertical="center" wrapText="1"/>
    </xf>
    <xf numFmtId="3" fontId="59" fillId="21" borderId="20" xfId="10" applyNumberFormat="1" applyFont="1" applyFill="1" applyBorder="1" applyAlignment="1">
      <alignment horizontal="center" vertical="center" wrapText="1"/>
    </xf>
    <xf numFmtId="3" fontId="59" fillId="21" borderId="21" xfId="10" applyNumberFormat="1" applyFont="1" applyFill="1" applyBorder="1" applyAlignment="1">
      <alignment horizontal="center" vertical="center" wrapText="1"/>
    </xf>
    <xf numFmtId="3" fontId="59" fillId="19" borderId="15" xfId="1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2" fillId="23" borderId="7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center" vertical="top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2" fillId="24" borderId="7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169" fontId="2" fillId="2" borderId="2" xfId="2" applyNumberFormat="1" applyFont="1" applyFill="1" applyBorder="1" applyAlignment="1">
      <alignment horizontal="center" vertical="center" wrapText="1"/>
    </xf>
    <xf numFmtId="169" fontId="3" fillId="0" borderId="0" xfId="2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9" fontId="2" fillId="2" borderId="1" xfId="2" applyNumberFormat="1" applyFont="1" applyFill="1" applyBorder="1" applyAlignment="1">
      <alignment horizontal="center" vertical="center" wrapText="1"/>
    </xf>
  </cellXfs>
  <cellStyles count="233">
    <cellStyle name="Comma" xfId="2" builtinId="3"/>
    <cellStyle name="Comma [0]" xfId="1" builtinId="6"/>
    <cellStyle name="Comma [0] 2" xfId="4" xr:uid="{00000000-0005-0000-0000-000002000000}"/>
    <cellStyle name="Comma [0] 3" xfId="6" xr:uid="{00000000-0005-0000-0000-000003000000}"/>
    <cellStyle name="Comma [0] 4" xfId="8" xr:uid="{00000000-0005-0000-0000-000004000000}"/>
    <cellStyle name="Comma 10" xfId="58" xr:uid="{00000000-0005-0000-0000-000005000000}"/>
    <cellStyle name="Comma 11" xfId="59" xr:uid="{00000000-0005-0000-0000-000006000000}"/>
    <cellStyle name="Comma 12" xfId="45" xr:uid="{00000000-0005-0000-0000-000007000000}"/>
    <cellStyle name="Comma 13" xfId="60" xr:uid="{00000000-0005-0000-0000-000008000000}"/>
    <cellStyle name="Comma 14" xfId="61" xr:uid="{00000000-0005-0000-0000-000009000000}"/>
    <cellStyle name="Comma 15" xfId="47" xr:uid="{00000000-0005-0000-0000-00000A000000}"/>
    <cellStyle name="Comma 16" xfId="62" xr:uid="{00000000-0005-0000-0000-00000B000000}"/>
    <cellStyle name="Comma 17" xfId="63" xr:uid="{00000000-0005-0000-0000-00000C000000}"/>
    <cellStyle name="Comma 18" xfId="64" xr:uid="{00000000-0005-0000-0000-00000D000000}"/>
    <cellStyle name="Comma 2" xfId="5" xr:uid="{00000000-0005-0000-0000-00000E000000}"/>
    <cellStyle name="Comma 2 2" xfId="14" xr:uid="{00000000-0005-0000-0000-00000F000000}"/>
    <cellStyle name="Comma 2 3" xfId="41" xr:uid="{00000000-0005-0000-0000-000010000000}"/>
    <cellStyle name="Comma 20" xfId="65" xr:uid="{00000000-0005-0000-0000-000011000000}"/>
    <cellStyle name="Comma 21" xfId="49" xr:uid="{00000000-0005-0000-0000-000012000000}"/>
    <cellStyle name="Comma 22" xfId="66" xr:uid="{00000000-0005-0000-0000-000013000000}"/>
    <cellStyle name="Comma 23" xfId="67" xr:uid="{00000000-0005-0000-0000-000014000000}"/>
    <cellStyle name="Comma 24" xfId="68" xr:uid="{00000000-0005-0000-0000-000015000000}"/>
    <cellStyle name="Comma 25" xfId="51" xr:uid="{00000000-0005-0000-0000-000016000000}"/>
    <cellStyle name="Comma 26" xfId="69" xr:uid="{00000000-0005-0000-0000-000017000000}"/>
    <cellStyle name="Comma 27" xfId="70" xr:uid="{00000000-0005-0000-0000-000018000000}"/>
    <cellStyle name="Comma 28" xfId="71" xr:uid="{00000000-0005-0000-0000-000019000000}"/>
    <cellStyle name="Comma 29" xfId="72" xr:uid="{00000000-0005-0000-0000-00001A000000}"/>
    <cellStyle name="Comma 3" xfId="13" xr:uid="{00000000-0005-0000-0000-00001B000000}"/>
    <cellStyle name="Comma 30" xfId="73" xr:uid="{00000000-0005-0000-0000-00001C000000}"/>
    <cellStyle name="Comma 31" xfId="53" xr:uid="{00000000-0005-0000-0000-00001D000000}"/>
    <cellStyle name="Comma 32" xfId="74" xr:uid="{00000000-0005-0000-0000-00001E000000}"/>
    <cellStyle name="Comma 33" xfId="75" xr:uid="{00000000-0005-0000-0000-00001F000000}"/>
    <cellStyle name="Comma 34" xfId="76" xr:uid="{00000000-0005-0000-0000-000020000000}"/>
    <cellStyle name="Comma 35" xfId="77" xr:uid="{00000000-0005-0000-0000-000021000000}"/>
    <cellStyle name="Comma 36" xfId="55" xr:uid="{00000000-0005-0000-0000-000022000000}"/>
    <cellStyle name="Comma 37" xfId="78" xr:uid="{00000000-0005-0000-0000-000023000000}"/>
    <cellStyle name="Comma 38" xfId="79" xr:uid="{00000000-0005-0000-0000-000024000000}"/>
    <cellStyle name="Comma 4" xfId="80" xr:uid="{00000000-0005-0000-0000-000025000000}"/>
    <cellStyle name="Comma 40" xfId="81" xr:uid="{00000000-0005-0000-0000-000026000000}"/>
    <cellStyle name="Comma 41" xfId="82" xr:uid="{00000000-0005-0000-0000-000027000000}"/>
    <cellStyle name="Comma 42" xfId="21" xr:uid="{00000000-0005-0000-0000-000028000000}"/>
    <cellStyle name="Comma 43" xfId="22" xr:uid="{00000000-0005-0000-0000-000029000000}"/>
    <cellStyle name="Comma 44" xfId="23" xr:uid="{00000000-0005-0000-0000-00002A000000}"/>
    <cellStyle name="Comma 45" xfId="25" xr:uid="{00000000-0005-0000-0000-00002B000000}"/>
    <cellStyle name="Comma 46" xfId="83" xr:uid="{00000000-0005-0000-0000-00002C000000}"/>
    <cellStyle name="Comma 48" xfId="84" xr:uid="{00000000-0005-0000-0000-00002D000000}"/>
    <cellStyle name="Comma 49" xfId="85" xr:uid="{00000000-0005-0000-0000-00002E000000}"/>
    <cellStyle name="Comma 50" xfId="57" xr:uid="{00000000-0005-0000-0000-00002F000000}"/>
    <cellStyle name="Comma 51" xfId="86" xr:uid="{00000000-0005-0000-0000-000030000000}"/>
    <cellStyle name="Comma 52" xfId="87" xr:uid="{00000000-0005-0000-0000-000031000000}"/>
    <cellStyle name="Comma 54" xfId="88" xr:uid="{00000000-0005-0000-0000-000032000000}"/>
    <cellStyle name="Comma 6" xfId="89" xr:uid="{00000000-0005-0000-0000-000033000000}"/>
    <cellStyle name="Comma 7" xfId="90" xr:uid="{00000000-0005-0000-0000-000034000000}"/>
    <cellStyle name="Comma 8" xfId="43" xr:uid="{00000000-0005-0000-0000-000035000000}"/>
    <cellStyle name="Comma 83" xfId="39" xr:uid="{00000000-0005-0000-0000-000036000000}"/>
    <cellStyle name="Comma 84" xfId="91" xr:uid="{00000000-0005-0000-0000-000037000000}"/>
    <cellStyle name="Comma 9" xfId="92" xr:uid="{00000000-0005-0000-0000-000038000000}"/>
    <cellStyle name="Normal" xfId="0" builtinId="0"/>
    <cellStyle name="Normal 10" xfId="24" xr:uid="{00000000-0005-0000-0000-00003A000000}"/>
    <cellStyle name="Normal 14" xfId="44" xr:uid="{00000000-0005-0000-0000-00003B000000}"/>
    <cellStyle name="Normal 17" xfId="46" xr:uid="{00000000-0005-0000-0000-00003C000000}"/>
    <cellStyle name="Normal 2" xfId="7" xr:uid="{00000000-0005-0000-0000-00003D000000}"/>
    <cellStyle name="Normal 2 10" xfId="15" xr:uid="{00000000-0005-0000-0000-00003E000000}"/>
    <cellStyle name="Normal 2 100" xfId="93" xr:uid="{00000000-0005-0000-0000-00003F000000}"/>
    <cellStyle name="Normal 2 101" xfId="94" xr:uid="{00000000-0005-0000-0000-000040000000}"/>
    <cellStyle name="Normal 2 102" xfId="95" xr:uid="{00000000-0005-0000-0000-000041000000}"/>
    <cellStyle name="Normal 2 103" xfId="96" xr:uid="{00000000-0005-0000-0000-000042000000}"/>
    <cellStyle name="Normal 2 104" xfId="97" xr:uid="{00000000-0005-0000-0000-000043000000}"/>
    <cellStyle name="Normal 2 105" xfId="98" xr:uid="{00000000-0005-0000-0000-000044000000}"/>
    <cellStyle name="Normal 2 106" xfId="99" xr:uid="{00000000-0005-0000-0000-000045000000}"/>
    <cellStyle name="Normal 2 107" xfId="100" xr:uid="{00000000-0005-0000-0000-000046000000}"/>
    <cellStyle name="Normal 2 108" xfId="101" xr:uid="{00000000-0005-0000-0000-000047000000}"/>
    <cellStyle name="Normal 2 109" xfId="102" xr:uid="{00000000-0005-0000-0000-000048000000}"/>
    <cellStyle name="Normal 2 11" xfId="103" xr:uid="{00000000-0005-0000-0000-000049000000}"/>
    <cellStyle name="Normal 2 110" xfId="104" xr:uid="{00000000-0005-0000-0000-00004A000000}"/>
    <cellStyle name="Normal 2 111" xfId="105" xr:uid="{00000000-0005-0000-0000-00004B000000}"/>
    <cellStyle name="Normal 2 112" xfId="106" xr:uid="{00000000-0005-0000-0000-00004C000000}"/>
    <cellStyle name="Normal 2 113" xfId="107" xr:uid="{00000000-0005-0000-0000-00004D000000}"/>
    <cellStyle name="Normal 2 114" xfId="108" xr:uid="{00000000-0005-0000-0000-00004E000000}"/>
    <cellStyle name="Normal 2 115" xfId="109" xr:uid="{00000000-0005-0000-0000-00004F000000}"/>
    <cellStyle name="Normal 2 116" xfId="110" xr:uid="{00000000-0005-0000-0000-000050000000}"/>
    <cellStyle name="Normal 2 117" xfId="111" xr:uid="{00000000-0005-0000-0000-000051000000}"/>
    <cellStyle name="Normal 2 118" xfId="112" xr:uid="{00000000-0005-0000-0000-000052000000}"/>
    <cellStyle name="Normal 2 119" xfId="113" xr:uid="{00000000-0005-0000-0000-000053000000}"/>
    <cellStyle name="Normal 2 12" xfId="114" xr:uid="{00000000-0005-0000-0000-000054000000}"/>
    <cellStyle name="Normal 2 120" xfId="115" xr:uid="{00000000-0005-0000-0000-000055000000}"/>
    <cellStyle name="Normal 2 121" xfId="116" xr:uid="{00000000-0005-0000-0000-000056000000}"/>
    <cellStyle name="Normal 2 122" xfId="117" xr:uid="{00000000-0005-0000-0000-000057000000}"/>
    <cellStyle name="Normal 2 123" xfId="118" xr:uid="{00000000-0005-0000-0000-000058000000}"/>
    <cellStyle name="Normal 2 124" xfId="119" xr:uid="{00000000-0005-0000-0000-000059000000}"/>
    <cellStyle name="Normal 2 125" xfId="120" xr:uid="{00000000-0005-0000-0000-00005A000000}"/>
    <cellStyle name="Normal 2 126" xfId="121" xr:uid="{00000000-0005-0000-0000-00005B000000}"/>
    <cellStyle name="Normal 2 127" xfId="122" xr:uid="{00000000-0005-0000-0000-00005C000000}"/>
    <cellStyle name="Normal 2 128" xfId="123" xr:uid="{00000000-0005-0000-0000-00005D000000}"/>
    <cellStyle name="Normal 2 129" xfId="124" xr:uid="{00000000-0005-0000-0000-00005E000000}"/>
    <cellStyle name="Normal 2 13" xfId="125" xr:uid="{00000000-0005-0000-0000-00005F000000}"/>
    <cellStyle name="Normal 2 130" xfId="126" xr:uid="{00000000-0005-0000-0000-000060000000}"/>
    <cellStyle name="Normal 2 131" xfId="127" xr:uid="{00000000-0005-0000-0000-000061000000}"/>
    <cellStyle name="Normal 2 132" xfId="128" xr:uid="{00000000-0005-0000-0000-000062000000}"/>
    <cellStyle name="Normal 2 133" xfId="129" xr:uid="{00000000-0005-0000-0000-000063000000}"/>
    <cellStyle name="Normal 2 134" xfId="130" xr:uid="{00000000-0005-0000-0000-000064000000}"/>
    <cellStyle name="Normal 2 135" xfId="131" xr:uid="{00000000-0005-0000-0000-000065000000}"/>
    <cellStyle name="Normal 2 136" xfId="132" xr:uid="{00000000-0005-0000-0000-000066000000}"/>
    <cellStyle name="Normal 2 14" xfId="133" xr:uid="{00000000-0005-0000-0000-000067000000}"/>
    <cellStyle name="Normal 2 15" xfId="134" xr:uid="{00000000-0005-0000-0000-000068000000}"/>
    <cellStyle name="Normal 2 16" xfId="135" xr:uid="{00000000-0005-0000-0000-000069000000}"/>
    <cellStyle name="Normal 2 17" xfId="136" xr:uid="{00000000-0005-0000-0000-00006A000000}"/>
    <cellStyle name="Normal 2 18" xfId="137" xr:uid="{00000000-0005-0000-0000-00006B000000}"/>
    <cellStyle name="Normal 2 19" xfId="138" xr:uid="{00000000-0005-0000-0000-00006C000000}"/>
    <cellStyle name="Normal 2 2" xfId="10" xr:uid="{00000000-0005-0000-0000-00006D000000}"/>
    <cellStyle name="Normal 2 20" xfId="139" xr:uid="{00000000-0005-0000-0000-00006E000000}"/>
    <cellStyle name="Normal 2 21" xfId="140" xr:uid="{00000000-0005-0000-0000-00006F000000}"/>
    <cellStyle name="Normal 2 22" xfId="141" xr:uid="{00000000-0005-0000-0000-000070000000}"/>
    <cellStyle name="Normal 2 23" xfId="142" xr:uid="{00000000-0005-0000-0000-000071000000}"/>
    <cellStyle name="Normal 2 24" xfId="143" xr:uid="{00000000-0005-0000-0000-000072000000}"/>
    <cellStyle name="Normal 2 25" xfId="144" xr:uid="{00000000-0005-0000-0000-000073000000}"/>
    <cellStyle name="Normal 2 26" xfId="145" xr:uid="{00000000-0005-0000-0000-000074000000}"/>
    <cellStyle name="Normal 2 27" xfId="146" xr:uid="{00000000-0005-0000-0000-000075000000}"/>
    <cellStyle name="Normal 2 28" xfId="147" xr:uid="{00000000-0005-0000-0000-000076000000}"/>
    <cellStyle name="Normal 2 29" xfId="148" xr:uid="{00000000-0005-0000-0000-000077000000}"/>
    <cellStyle name="Normal 2 3" xfId="149" xr:uid="{00000000-0005-0000-0000-000078000000}"/>
    <cellStyle name="Normal 2 30" xfId="150" xr:uid="{00000000-0005-0000-0000-000079000000}"/>
    <cellStyle name="Normal 2 31" xfId="151" xr:uid="{00000000-0005-0000-0000-00007A000000}"/>
    <cellStyle name="Normal 2 32" xfId="152" xr:uid="{00000000-0005-0000-0000-00007B000000}"/>
    <cellStyle name="Normal 2 33" xfId="153" xr:uid="{00000000-0005-0000-0000-00007C000000}"/>
    <cellStyle name="Normal 2 34" xfId="154" xr:uid="{00000000-0005-0000-0000-00007D000000}"/>
    <cellStyle name="Normal 2 35" xfId="155" xr:uid="{00000000-0005-0000-0000-00007E000000}"/>
    <cellStyle name="Normal 2 36" xfId="156" xr:uid="{00000000-0005-0000-0000-00007F000000}"/>
    <cellStyle name="Normal 2 37" xfId="157" xr:uid="{00000000-0005-0000-0000-000080000000}"/>
    <cellStyle name="Normal 2 38" xfId="158" xr:uid="{00000000-0005-0000-0000-000081000000}"/>
    <cellStyle name="Normal 2 39" xfId="159" xr:uid="{00000000-0005-0000-0000-000082000000}"/>
    <cellStyle name="Normal 2 4" xfId="160" xr:uid="{00000000-0005-0000-0000-000083000000}"/>
    <cellStyle name="Normal 2 40" xfId="161" xr:uid="{00000000-0005-0000-0000-000084000000}"/>
    <cellStyle name="Normal 2 41" xfId="162" xr:uid="{00000000-0005-0000-0000-000085000000}"/>
    <cellStyle name="Normal 2 42" xfId="163" xr:uid="{00000000-0005-0000-0000-000086000000}"/>
    <cellStyle name="Normal 2 43" xfId="164" xr:uid="{00000000-0005-0000-0000-000087000000}"/>
    <cellStyle name="Normal 2 44" xfId="165" xr:uid="{00000000-0005-0000-0000-000088000000}"/>
    <cellStyle name="Normal 2 45" xfId="166" xr:uid="{00000000-0005-0000-0000-000089000000}"/>
    <cellStyle name="Normal 2 46" xfId="167" xr:uid="{00000000-0005-0000-0000-00008A000000}"/>
    <cellStyle name="Normal 2 47" xfId="168" xr:uid="{00000000-0005-0000-0000-00008B000000}"/>
    <cellStyle name="Normal 2 48" xfId="169" xr:uid="{00000000-0005-0000-0000-00008C000000}"/>
    <cellStyle name="Normal 2 49" xfId="170" xr:uid="{00000000-0005-0000-0000-00008D000000}"/>
    <cellStyle name="Normal 2 5" xfId="171" xr:uid="{00000000-0005-0000-0000-00008E000000}"/>
    <cellStyle name="Normal 2 50" xfId="172" xr:uid="{00000000-0005-0000-0000-00008F000000}"/>
    <cellStyle name="Normal 2 51" xfId="173" xr:uid="{00000000-0005-0000-0000-000090000000}"/>
    <cellStyle name="Normal 2 52" xfId="174" xr:uid="{00000000-0005-0000-0000-000091000000}"/>
    <cellStyle name="Normal 2 53" xfId="175" xr:uid="{00000000-0005-0000-0000-000092000000}"/>
    <cellStyle name="Normal 2 54" xfId="176" xr:uid="{00000000-0005-0000-0000-000093000000}"/>
    <cellStyle name="Normal 2 55" xfId="177" xr:uid="{00000000-0005-0000-0000-000094000000}"/>
    <cellStyle name="Normal 2 56" xfId="178" xr:uid="{00000000-0005-0000-0000-000095000000}"/>
    <cellStyle name="Normal 2 57" xfId="179" xr:uid="{00000000-0005-0000-0000-000096000000}"/>
    <cellStyle name="Normal 2 58" xfId="180" xr:uid="{00000000-0005-0000-0000-000097000000}"/>
    <cellStyle name="Normal 2 59" xfId="181" xr:uid="{00000000-0005-0000-0000-000098000000}"/>
    <cellStyle name="Normal 2 6" xfId="182" xr:uid="{00000000-0005-0000-0000-000099000000}"/>
    <cellStyle name="Normal 2 60" xfId="183" xr:uid="{00000000-0005-0000-0000-00009A000000}"/>
    <cellStyle name="Normal 2 61" xfId="184" xr:uid="{00000000-0005-0000-0000-00009B000000}"/>
    <cellStyle name="Normal 2 62" xfId="185" xr:uid="{00000000-0005-0000-0000-00009C000000}"/>
    <cellStyle name="Normal 2 63" xfId="186" xr:uid="{00000000-0005-0000-0000-00009D000000}"/>
    <cellStyle name="Normal 2 64" xfId="187" xr:uid="{00000000-0005-0000-0000-00009E000000}"/>
    <cellStyle name="Normal 2 65" xfId="188" xr:uid="{00000000-0005-0000-0000-00009F000000}"/>
    <cellStyle name="Normal 2 66" xfId="189" xr:uid="{00000000-0005-0000-0000-0000A0000000}"/>
    <cellStyle name="Normal 2 67" xfId="190" xr:uid="{00000000-0005-0000-0000-0000A1000000}"/>
    <cellStyle name="Normal 2 68" xfId="191" xr:uid="{00000000-0005-0000-0000-0000A2000000}"/>
    <cellStyle name="Normal 2 69" xfId="192" xr:uid="{00000000-0005-0000-0000-0000A3000000}"/>
    <cellStyle name="Normal 2 7" xfId="193" xr:uid="{00000000-0005-0000-0000-0000A4000000}"/>
    <cellStyle name="Normal 2 70" xfId="194" xr:uid="{00000000-0005-0000-0000-0000A5000000}"/>
    <cellStyle name="Normal 2 71" xfId="195" xr:uid="{00000000-0005-0000-0000-0000A6000000}"/>
    <cellStyle name="Normal 2 72" xfId="196" xr:uid="{00000000-0005-0000-0000-0000A7000000}"/>
    <cellStyle name="Normal 2 73" xfId="197" xr:uid="{00000000-0005-0000-0000-0000A8000000}"/>
    <cellStyle name="Normal 2 74" xfId="198" xr:uid="{00000000-0005-0000-0000-0000A9000000}"/>
    <cellStyle name="Normal 2 75" xfId="199" xr:uid="{00000000-0005-0000-0000-0000AA000000}"/>
    <cellStyle name="Normal 2 76" xfId="200" xr:uid="{00000000-0005-0000-0000-0000AB000000}"/>
    <cellStyle name="Normal 2 77" xfId="201" xr:uid="{00000000-0005-0000-0000-0000AC000000}"/>
    <cellStyle name="Normal 2 78" xfId="202" xr:uid="{00000000-0005-0000-0000-0000AD000000}"/>
    <cellStyle name="Normal 2 79" xfId="203" xr:uid="{00000000-0005-0000-0000-0000AE000000}"/>
    <cellStyle name="Normal 2 8" xfId="204" xr:uid="{00000000-0005-0000-0000-0000AF000000}"/>
    <cellStyle name="Normal 2 80" xfId="205" xr:uid="{00000000-0005-0000-0000-0000B0000000}"/>
    <cellStyle name="Normal 2 81" xfId="206" xr:uid="{00000000-0005-0000-0000-0000B1000000}"/>
    <cellStyle name="Normal 2 82" xfId="207" xr:uid="{00000000-0005-0000-0000-0000B2000000}"/>
    <cellStyle name="Normal 2 83" xfId="208" xr:uid="{00000000-0005-0000-0000-0000B3000000}"/>
    <cellStyle name="Normal 2 84" xfId="209" xr:uid="{00000000-0005-0000-0000-0000B4000000}"/>
    <cellStyle name="Normal 2 85" xfId="210" xr:uid="{00000000-0005-0000-0000-0000B5000000}"/>
    <cellStyle name="Normal 2 86" xfId="211" xr:uid="{00000000-0005-0000-0000-0000B6000000}"/>
    <cellStyle name="Normal 2 87" xfId="212" xr:uid="{00000000-0005-0000-0000-0000B7000000}"/>
    <cellStyle name="Normal 2 88" xfId="213" xr:uid="{00000000-0005-0000-0000-0000B8000000}"/>
    <cellStyle name="Normal 2 89" xfId="214" xr:uid="{00000000-0005-0000-0000-0000B9000000}"/>
    <cellStyle name="Normal 2 9" xfId="215" xr:uid="{00000000-0005-0000-0000-0000BA000000}"/>
    <cellStyle name="Normal 2 90" xfId="216" xr:uid="{00000000-0005-0000-0000-0000BB000000}"/>
    <cellStyle name="Normal 2 91" xfId="217" xr:uid="{00000000-0005-0000-0000-0000BC000000}"/>
    <cellStyle name="Normal 2 92" xfId="218" xr:uid="{00000000-0005-0000-0000-0000BD000000}"/>
    <cellStyle name="Normal 2 93" xfId="219" xr:uid="{00000000-0005-0000-0000-0000BE000000}"/>
    <cellStyle name="Normal 2 94" xfId="220" xr:uid="{00000000-0005-0000-0000-0000BF000000}"/>
    <cellStyle name="Normal 2 95" xfId="221" xr:uid="{00000000-0005-0000-0000-0000C0000000}"/>
    <cellStyle name="Normal 2 96" xfId="222" xr:uid="{00000000-0005-0000-0000-0000C1000000}"/>
    <cellStyle name="Normal 2 97" xfId="223" xr:uid="{00000000-0005-0000-0000-0000C2000000}"/>
    <cellStyle name="Normal 2 98" xfId="224" xr:uid="{00000000-0005-0000-0000-0000C3000000}"/>
    <cellStyle name="Normal 2 99" xfId="225" xr:uid="{00000000-0005-0000-0000-0000C4000000}"/>
    <cellStyle name="Normal 20" xfId="226" xr:uid="{00000000-0005-0000-0000-0000C5000000}"/>
    <cellStyle name="Normal 22" xfId="48" xr:uid="{00000000-0005-0000-0000-0000C6000000}"/>
    <cellStyle name="Normal 26" xfId="26" xr:uid="{00000000-0005-0000-0000-0000C7000000}"/>
    <cellStyle name="Normal 27" xfId="50" xr:uid="{00000000-0005-0000-0000-0000C8000000}"/>
    <cellStyle name="Normal 3" xfId="3" xr:uid="{00000000-0005-0000-0000-0000C9000000}"/>
    <cellStyle name="Normal 3 2" xfId="40" xr:uid="{00000000-0005-0000-0000-0000CA000000}"/>
    <cellStyle name="Normal 30" xfId="27" xr:uid="{00000000-0005-0000-0000-0000CB000000}"/>
    <cellStyle name="Normal 34" xfId="52" xr:uid="{00000000-0005-0000-0000-0000CC000000}"/>
    <cellStyle name="Normal 35" xfId="28" xr:uid="{00000000-0005-0000-0000-0000CD000000}"/>
    <cellStyle name="Normal 4" xfId="9" xr:uid="{00000000-0005-0000-0000-0000CE000000}"/>
    <cellStyle name="Normal 40" xfId="29" xr:uid="{00000000-0005-0000-0000-0000CF000000}"/>
    <cellStyle name="Normal 41" xfId="54" xr:uid="{00000000-0005-0000-0000-0000D0000000}"/>
    <cellStyle name="Normal 44" xfId="30" xr:uid="{00000000-0005-0000-0000-0000D1000000}"/>
    <cellStyle name="Normal 45" xfId="227" xr:uid="{00000000-0005-0000-0000-0000D2000000}"/>
    <cellStyle name="Normal 5" xfId="11" xr:uid="{00000000-0005-0000-0000-0000D3000000}"/>
    <cellStyle name="Normal 52" xfId="31" xr:uid="{00000000-0005-0000-0000-0000D4000000}"/>
    <cellStyle name="Normal 54" xfId="228" xr:uid="{00000000-0005-0000-0000-0000D5000000}"/>
    <cellStyle name="Normal 57" xfId="56" xr:uid="{00000000-0005-0000-0000-0000D6000000}"/>
    <cellStyle name="Normal 6" xfId="229" xr:uid="{00000000-0005-0000-0000-0000D7000000}"/>
    <cellStyle name="Normal 60" xfId="230" xr:uid="{00000000-0005-0000-0000-0000D8000000}"/>
    <cellStyle name="Normal 61" xfId="33" xr:uid="{00000000-0005-0000-0000-0000D9000000}"/>
    <cellStyle name="Normal 65" xfId="32" xr:uid="{00000000-0005-0000-0000-0000DA000000}"/>
    <cellStyle name="Normal 66" xfId="34" xr:uid="{00000000-0005-0000-0000-0000DB000000}"/>
    <cellStyle name="Normal 70" xfId="35" xr:uid="{00000000-0005-0000-0000-0000DC000000}"/>
    <cellStyle name="Normal 76" xfId="36" xr:uid="{00000000-0005-0000-0000-0000DD000000}"/>
    <cellStyle name="Normal 79" xfId="37" xr:uid="{00000000-0005-0000-0000-0000DE000000}"/>
    <cellStyle name="Normal 8" xfId="16" xr:uid="{00000000-0005-0000-0000-0000DF000000}"/>
    <cellStyle name="Normal 81" xfId="231" xr:uid="{00000000-0005-0000-0000-0000E0000000}"/>
    <cellStyle name="Normal 82" xfId="38" xr:uid="{00000000-0005-0000-0000-0000E1000000}"/>
    <cellStyle name="Normal 84" xfId="232" xr:uid="{00000000-0005-0000-0000-0000E2000000}"/>
    <cellStyle name="Normal 9" xfId="42" xr:uid="{00000000-0005-0000-0000-0000E3000000}"/>
    <cellStyle name="Normal_LKTK REVISI" xfId="12" xr:uid="{00000000-0005-0000-0000-0000E4000000}"/>
    <cellStyle name="Percent 2" xfId="17" xr:uid="{00000000-0005-0000-0000-0000E5000000}"/>
    <cellStyle name="Percent 2 2" xfId="18" xr:uid="{00000000-0005-0000-0000-0000E6000000}"/>
    <cellStyle name="Percent 3" xfId="19" xr:uid="{00000000-0005-0000-0000-0000E7000000}"/>
    <cellStyle name="Percent 4" xfId="20" xr:uid="{00000000-0005-0000-0000-0000E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38"/>
  <sheetViews>
    <sheetView view="pageBreakPreview" zoomScale="60" zoomScaleNormal="100" workbookViewId="0">
      <selection activeCell="E16" sqref="E16"/>
    </sheetView>
  </sheetViews>
  <sheetFormatPr defaultRowHeight="15" x14ac:dyDescent="0.25"/>
  <cols>
    <col min="1" max="1" width="4" bestFit="1" customWidth="1"/>
    <col min="2" max="2" width="47.140625" customWidth="1"/>
  </cols>
  <sheetData>
    <row r="1" spans="1:2" ht="10.7" customHeight="1" x14ac:dyDescent="0.25">
      <c r="A1" s="461" t="s">
        <v>29</v>
      </c>
      <c r="B1" s="461" t="s">
        <v>30</v>
      </c>
    </row>
    <row r="2" spans="1:2" ht="10.7" customHeight="1" x14ac:dyDescent="0.25">
      <c r="A2" s="461" t="s">
        <v>29</v>
      </c>
      <c r="B2" s="461" t="s">
        <v>30</v>
      </c>
    </row>
    <row r="3" spans="1:2" ht="10.9" customHeight="1" x14ac:dyDescent="0.25">
      <c r="A3" s="461" t="s">
        <v>29</v>
      </c>
      <c r="B3" s="461" t="s">
        <v>30</v>
      </c>
    </row>
    <row r="4" spans="1:2" ht="10.7" customHeight="1" x14ac:dyDescent="0.25">
      <c r="A4" s="462" t="s">
        <v>31</v>
      </c>
      <c r="B4" s="462"/>
    </row>
    <row r="5" spans="1:2" ht="11.1" customHeight="1" x14ac:dyDescent="0.25">
      <c r="A5" s="5">
        <v>1</v>
      </c>
      <c r="B5" s="6" t="s">
        <v>32</v>
      </c>
    </row>
    <row r="6" spans="1:2" ht="10.9" customHeight="1" x14ac:dyDescent="0.25">
      <c r="A6" s="5">
        <f>A5+1</f>
        <v>2</v>
      </c>
      <c r="B6" s="6" t="s">
        <v>33</v>
      </c>
    </row>
    <row r="7" spans="1:2" ht="10.9" customHeight="1" x14ac:dyDescent="0.25">
      <c r="A7" s="5">
        <f t="shared" ref="A7:A69" si="0">A6+1</f>
        <v>3</v>
      </c>
      <c r="B7" s="6" t="s">
        <v>34</v>
      </c>
    </row>
    <row r="8" spans="1:2" ht="10.7" customHeight="1" x14ac:dyDescent="0.25">
      <c r="A8" s="5">
        <f t="shared" si="0"/>
        <v>4</v>
      </c>
      <c r="B8" s="6" t="s">
        <v>35</v>
      </c>
    </row>
    <row r="9" spans="1:2" ht="11.1" customHeight="1" x14ac:dyDescent="0.25">
      <c r="A9" s="5">
        <f t="shared" si="0"/>
        <v>5</v>
      </c>
      <c r="B9" s="6" t="s">
        <v>36</v>
      </c>
    </row>
    <row r="10" spans="1:2" ht="11.1" customHeight="1" x14ac:dyDescent="0.25">
      <c r="A10" s="5">
        <f t="shared" si="0"/>
        <v>6</v>
      </c>
      <c r="B10" s="6" t="s">
        <v>37</v>
      </c>
    </row>
    <row r="11" spans="1:2" ht="10.35" customHeight="1" x14ac:dyDescent="0.25">
      <c r="A11" s="462" t="s">
        <v>38</v>
      </c>
      <c r="B11" s="462"/>
    </row>
    <row r="12" spans="1:2" ht="11.1" customHeight="1" x14ac:dyDescent="0.25">
      <c r="A12" s="5">
        <v>7</v>
      </c>
      <c r="B12" s="6" t="s">
        <v>39</v>
      </c>
    </row>
    <row r="13" spans="1:2" ht="10.9" customHeight="1" x14ac:dyDescent="0.25">
      <c r="A13" s="5">
        <f t="shared" si="0"/>
        <v>8</v>
      </c>
      <c r="B13" s="6" t="s">
        <v>40</v>
      </c>
    </row>
    <row r="14" spans="1:2" ht="10.9" customHeight="1" x14ac:dyDescent="0.25">
      <c r="A14" s="5">
        <f t="shared" si="0"/>
        <v>9</v>
      </c>
      <c r="B14" s="6" t="s">
        <v>41</v>
      </c>
    </row>
    <row r="15" spans="1:2" ht="11.1" customHeight="1" x14ac:dyDescent="0.25">
      <c r="A15" s="5">
        <f t="shared" si="0"/>
        <v>10</v>
      </c>
      <c r="B15" s="6" t="s">
        <v>42</v>
      </c>
    </row>
    <row r="16" spans="1:2" ht="10.35" customHeight="1" x14ac:dyDescent="0.25">
      <c r="A16" s="462" t="s">
        <v>43</v>
      </c>
      <c r="B16" s="462"/>
    </row>
    <row r="17" spans="1:2" ht="11.1" customHeight="1" x14ac:dyDescent="0.25">
      <c r="A17" s="5">
        <v>11</v>
      </c>
      <c r="B17" s="6" t="s">
        <v>44</v>
      </c>
    </row>
    <row r="18" spans="1:2" ht="10.9" customHeight="1" x14ac:dyDescent="0.25">
      <c r="A18" s="5">
        <f t="shared" si="0"/>
        <v>12</v>
      </c>
      <c r="B18" s="6" t="s">
        <v>45</v>
      </c>
    </row>
    <row r="19" spans="1:2" ht="11.45" customHeight="1" x14ac:dyDescent="0.25">
      <c r="A19" s="5">
        <f t="shared" si="0"/>
        <v>13</v>
      </c>
      <c r="B19" s="6" t="s">
        <v>46</v>
      </c>
    </row>
    <row r="20" spans="1:2" ht="11.1" customHeight="1" x14ac:dyDescent="0.25">
      <c r="A20" s="5">
        <f t="shared" si="0"/>
        <v>14</v>
      </c>
      <c r="B20" s="6" t="s">
        <v>47</v>
      </c>
    </row>
    <row r="21" spans="1:2" ht="10.9" customHeight="1" x14ac:dyDescent="0.25">
      <c r="A21" s="5">
        <f t="shared" si="0"/>
        <v>15</v>
      </c>
      <c r="B21" s="6" t="s">
        <v>48</v>
      </c>
    </row>
    <row r="22" spans="1:2" ht="10.9" customHeight="1" x14ac:dyDescent="0.25">
      <c r="A22" s="5">
        <f t="shared" si="0"/>
        <v>16</v>
      </c>
      <c r="B22" s="6" t="s">
        <v>49</v>
      </c>
    </row>
    <row r="23" spans="1:2" ht="10.7" customHeight="1" x14ac:dyDescent="0.25">
      <c r="A23" s="5">
        <f t="shared" si="0"/>
        <v>17</v>
      </c>
      <c r="B23" s="6" t="s">
        <v>50</v>
      </c>
    </row>
    <row r="24" spans="1:2" ht="10.9" customHeight="1" x14ac:dyDescent="0.25">
      <c r="A24" s="5">
        <f t="shared" si="0"/>
        <v>18</v>
      </c>
      <c r="B24" s="6" t="s">
        <v>51</v>
      </c>
    </row>
    <row r="25" spans="1:2" ht="10.7" customHeight="1" x14ac:dyDescent="0.25">
      <c r="A25" s="5">
        <f t="shared" si="0"/>
        <v>19</v>
      </c>
      <c r="B25" s="6" t="s">
        <v>52</v>
      </c>
    </row>
    <row r="26" spans="1:2" ht="11.1" customHeight="1" x14ac:dyDescent="0.25">
      <c r="A26" s="5">
        <f t="shared" si="0"/>
        <v>20</v>
      </c>
      <c r="B26" s="6" t="s">
        <v>53</v>
      </c>
    </row>
    <row r="27" spans="1:2" ht="10.9" customHeight="1" x14ac:dyDescent="0.25">
      <c r="A27" s="5">
        <f t="shared" si="0"/>
        <v>21</v>
      </c>
      <c r="B27" s="6" t="s">
        <v>54</v>
      </c>
    </row>
    <row r="28" spans="1:2" ht="10.9" customHeight="1" x14ac:dyDescent="0.25">
      <c r="A28" s="5">
        <f t="shared" si="0"/>
        <v>22</v>
      </c>
      <c r="B28" s="6" t="s">
        <v>55</v>
      </c>
    </row>
    <row r="29" spans="1:2" ht="10.9" customHeight="1" x14ac:dyDescent="0.25">
      <c r="A29" s="5">
        <f t="shared" si="0"/>
        <v>23</v>
      </c>
      <c r="B29" s="6" t="s">
        <v>56</v>
      </c>
    </row>
    <row r="30" spans="1:2" ht="10.9" customHeight="1" x14ac:dyDescent="0.25">
      <c r="A30" s="5">
        <f t="shared" si="0"/>
        <v>24</v>
      </c>
      <c r="B30" s="6" t="s">
        <v>57</v>
      </c>
    </row>
    <row r="31" spans="1:2" ht="11.1" customHeight="1" x14ac:dyDescent="0.25">
      <c r="A31" s="5">
        <f t="shared" si="0"/>
        <v>25</v>
      </c>
      <c r="B31" s="6" t="s">
        <v>58</v>
      </c>
    </row>
    <row r="32" spans="1:2" ht="11.1" customHeight="1" x14ac:dyDescent="0.25">
      <c r="A32" s="5">
        <f t="shared" si="0"/>
        <v>26</v>
      </c>
      <c r="B32" s="6" t="s">
        <v>59</v>
      </c>
    </row>
    <row r="33" spans="1:2" ht="10.9" customHeight="1" x14ac:dyDescent="0.25">
      <c r="A33" s="5">
        <f t="shared" si="0"/>
        <v>27</v>
      </c>
      <c r="B33" s="6" t="s">
        <v>60</v>
      </c>
    </row>
    <row r="34" spans="1:2" ht="10.9" customHeight="1" x14ac:dyDescent="0.25">
      <c r="A34" s="5">
        <f t="shared" si="0"/>
        <v>28</v>
      </c>
      <c r="B34" s="6" t="s">
        <v>61</v>
      </c>
    </row>
    <row r="35" spans="1:2" ht="10.35" customHeight="1" x14ac:dyDescent="0.25">
      <c r="A35" s="458" t="s">
        <v>62</v>
      </c>
      <c r="B35" s="458"/>
    </row>
    <row r="36" spans="1:2" ht="11.1" customHeight="1" x14ac:dyDescent="0.25">
      <c r="A36" s="5">
        <v>29</v>
      </c>
      <c r="B36" s="6" t="s">
        <v>63</v>
      </c>
    </row>
    <row r="37" spans="1:2" ht="10.9" customHeight="1" x14ac:dyDescent="0.25">
      <c r="A37" s="5">
        <f t="shared" si="0"/>
        <v>30</v>
      </c>
      <c r="B37" s="6" t="s">
        <v>64</v>
      </c>
    </row>
    <row r="38" spans="1:2" ht="10.7" customHeight="1" x14ac:dyDescent="0.25">
      <c r="A38" s="5">
        <f t="shared" si="0"/>
        <v>31</v>
      </c>
      <c r="B38" s="6" t="s">
        <v>65</v>
      </c>
    </row>
    <row r="39" spans="1:2" ht="10.9" customHeight="1" x14ac:dyDescent="0.25">
      <c r="A39" s="5">
        <f t="shared" si="0"/>
        <v>32</v>
      </c>
      <c r="B39" s="6" t="s">
        <v>66</v>
      </c>
    </row>
    <row r="40" spans="1:2" ht="10.7" customHeight="1" x14ac:dyDescent="0.25">
      <c r="A40" s="5">
        <f t="shared" si="0"/>
        <v>33</v>
      </c>
      <c r="B40" s="6" t="s">
        <v>67</v>
      </c>
    </row>
    <row r="41" spans="1:2" ht="10.9" customHeight="1" x14ac:dyDescent="0.25">
      <c r="A41" s="5">
        <f t="shared" si="0"/>
        <v>34</v>
      </c>
      <c r="B41" s="6" t="s">
        <v>68</v>
      </c>
    </row>
    <row r="42" spans="1:2" ht="10.7" customHeight="1" x14ac:dyDescent="0.25">
      <c r="A42" s="5">
        <f t="shared" si="0"/>
        <v>35</v>
      </c>
      <c r="B42" s="6" t="s">
        <v>69</v>
      </c>
    </row>
    <row r="43" spans="1:2" ht="10.9" customHeight="1" x14ac:dyDescent="0.25">
      <c r="A43" s="5">
        <f t="shared" si="0"/>
        <v>36</v>
      </c>
      <c r="B43" s="6" t="s">
        <v>70</v>
      </c>
    </row>
    <row r="44" spans="1:2" ht="10.9" customHeight="1" x14ac:dyDescent="0.25">
      <c r="A44" s="5">
        <f t="shared" si="0"/>
        <v>37</v>
      </c>
      <c r="B44" s="6" t="s">
        <v>71</v>
      </c>
    </row>
    <row r="45" spans="1:2" ht="11.1" customHeight="1" x14ac:dyDescent="0.25">
      <c r="A45" s="5">
        <f t="shared" si="0"/>
        <v>38</v>
      </c>
      <c r="B45" s="6" t="s">
        <v>72</v>
      </c>
    </row>
    <row r="46" spans="1:2" ht="10.9" customHeight="1" x14ac:dyDescent="0.25">
      <c r="A46" s="5">
        <f t="shared" si="0"/>
        <v>39</v>
      </c>
      <c r="B46" s="6" t="s">
        <v>73</v>
      </c>
    </row>
    <row r="47" spans="1:2" ht="10.9" customHeight="1" x14ac:dyDescent="0.25">
      <c r="A47" s="5">
        <f t="shared" si="0"/>
        <v>40</v>
      </c>
      <c r="B47" s="6" t="s">
        <v>74</v>
      </c>
    </row>
    <row r="48" spans="1:2" ht="11.1" customHeight="1" x14ac:dyDescent="0.25">
      <c r="A48" s="5">
        <f t="shared" si="0"/>
        <v>41</v>
      </c>
      <c r="B48" s="6" t="s">
        <v>75</v>
      </c>
    </row>
    <row r="49" spans="1:2" ht="10.9" customHeight="1" x14ac:dyDescent="0.25">
      <c r="A49" s="5">
        <f t="shared" si="0"/>
        <v>42</v>
      </c>
      <c r="B49" s="6" t="s">
        <v>76</v>
      </c>
    </row>
    <row r="50" spans="1:2" ht="10.9" customHeight="1" x14ac:dyDescent="0.25">
      <c r="A50" s="5">
        <f t="shared" si="0"/>
        <v>43</v>
      </c>
      <c r="B50" s="6" t="s">
        <v>77</v>
      </c>
    </row>
    <row r="51" spans="1:2" ht="10.9" customHeight="1" x14ac:dyDescent="0.25">
      <c r="A51" s="5">
        <f t="shared" si="0"/>
        <v>44</v>
      </c>
      <c r="B51" s="6" t="s">
        <v>78</v>
      </c>
    </row>
    <row r="52" spans="1:2" ht="10.9" customHeight="1" x14ac:dyDescent="0.25">
      <c r="A52" s="5">
        <f t="shared" si="0"/>
        <v>45</v>
      </c>
      <c r="B52" s="6" t="s">
        <v>79</v>
      </c>
    </row>
    <row r="53" spans="1:2" ht="10.9" customHeight="1" x14ac:dyDescent="0.25">
      <c r="A53" s="5">
        <f t="shared" si="0"/>
        <v>46</v>
      </c>
      <c r="B53" s="6" t="s">
        <v>80</v>
      </c>
    </row>
    <row r="54" spans="1:2" ht="10.9" customHeight="1" x14ac:dyDescent="0.25">
      <c r="A54" s="5">
        <f t="shared" si="0"/>
        <v>47</v>
      </c>
      <c r="B54" s="6" t="s">
        <v>81</v>
      </c>
    </row>
    <row r="55" spans="1:2" ht="10.9" customHeight="1" x14ac:dyDescent="0.25">
      <c r="A55" s="5">
        <f t="shared" si="0"/>
        <v>48</v>
      </c>
      <c r="B55" s="6" t="s">
        <v>82</v>
      </c>
    </row>
    <row r="56" spans="1:2" ht="10.9" customHeight="1" x14ac:dyDescent="0.25">
      <c r="A56" s="5">
        <f t="shared" si="0"/>
        <v>49</v>
      </c>
      <c r="B56" s="6" t="s">
        <v>83</v>
      </c>
    </row>
    <row r="57" spans="1:2" ht="10.7" customHeight="1" x14ac:dyDescent="0.25">
      <c r="A57" s="5">
        <f t="shared" si="0"/>
        <v>50</v>
      </c>
      <c r="B57" s="6" t="s">
        <v>84</v>
      </c>
    </row>
    <row r="58" spans="1:2" ht="10.9" customHeight="1" x14ac:dyDescent="0.25">
      <c r="A58" s="5">
        <f t="shared" si="0"/>
        <v>51</v>
      </c>
      <c r="B58" s="6" t="s">
        <v>85</v>
      </c>
    </row>
    <row r="59" spans="1:2" ht="10.7" customHeight="1" x14ac:dyDescent="0.25">
      <c r="A59" s="5">
        <f t="shared" si="0"/>
        <v>52</v>
      </c>
      <c r="B59" s="6" t="s">
        <v>86</v>
      </c>
    </row>
    <row r="60" spans="1:2" ht="10.9" customHeight="1" x14ac:dyDescent="0.25">
      <c r="A60" s="5">
        <f t="shared" si="0"/>
        <v>53</v>
      </c>
      <c r="B60" s="6" t="s">
        <v>87</v>
      </c>
    </row>
    <row r="61" spans="1:2" ht="10.9" customHeight="1" x14ac:dyDescent="0.25">
      <c r="A61" s="5">
        <f t="shared" si="0"/>
        <v>54</v>
      </c>
      <c r="B61" s="6" t="s">
        <v>88</v>
      </c>
    </row>
    <row r="62" spans="1:2" ht="10.9" customHeight="1" x14ac:dyDescent="0.25">
      <c r="A62" s="5">
        <f t="shared" si="0"/>
        <v>55</v>
      </c>
      <c r="B62" s="6" t="s">
        <v>89</v>
      </c>
    </row>
    <row r="63" spans="1:2" ht="11.45" customHeight="1" x14ac:dyDescent="0.25">
      <c r="A63" s="5">
        <f t="shared" si="0"/>
        <v>56</v>
      </c>
      <c r="B63" s="6" t="s">
        <v>90</v>
      </c>
    </row>
    <row r="64" spans="1:2" ht="11.25" customHeight="1" x14ac:dyDescent="0.25">
      <c r="A64" s="5">
        <f t="shared" si="0"/>
        <v>57</v>
      </c>
      <c r="B64" s="6" t="s">
        <v>91</v>
      </c>
    </row>
    <row r="65" spans="1:2" ht="10.35" customHeight="1" x14ac:dyDescent="0.25">
      <c r="A65" s="458" t="s">
        <v>92</v>
      </c>
      <c r="B65" s="458"/>
    </row>
    <row r="66" spans="1:2" ht="11.1" customHeight="1" x14ac:dyDescent="0.25">
      <c r="A66" s="5">
        <v>58</v>
      </c>
      <c r="B66" s="6" t="s">
        <v>93</v>
      </c>
    </row>
    <row r="67" spans="1:2" ht="10.9" customHeight="1" x14ac:dyDescent="0.25">
      <c r="A67" s="5">
        <f t="shared" si="0"/>
        <v>59</v>
      </c>
      <c r="B67" s="6" t="s">
        <v>94</v>
      </c>
    </row>
    <row r="68" spans="1:2" ht="10.9" customHeight="1" x14ac:dyDescent="0.25">
      <c r="A68" s="5">
        <f t="shared" si="0"/>
        <v>60</v>
      </c>
      <c r="B68" s="6" t="s">
        <v>95</v>
      </c>
    </row>
    <row r="69" spans="1:2" ht="11.1" customHeight="1" x14ac:dyDescent="0.25">
      <c r="A69" s="5">
        <f t="shared" si="0"/>
        <v>61</v>
      </c>
      <c r="B69" s="6" t="s">
        <v>96</v>
      </c>
    </row>
    <row r="70" spans="1:2" ht="10.35" customHeight="1" x14ac:dyDescent="0.25">
      <c r="A70" s="459" t="s">
        <v>97</v>
      </c>
      <c r="B70" s="459"/>
    </row>
    <row r="71" spans="1:2" ht="11.1" customHeight="1" x14ac:dyDescent="0.25">
      <c r="A71" s="5">
        <v>62</v>
      </c>
      <c r="B71" s="6" t="s">
        <v>98</v>
      </c>
    </row>
    <row r="72" spans="1:2" ht="10.7" customHeight="1" x14ac:dyDescent="0.25">
      <c r="A72" s="5">
        <f t="shared" ref="A72:A135" si="1">A71+1</f>
        <v>63</v>
      </c>
      <c r="B72" s="6" t="s">
        <v>99</v>
      </c>
    </row>
    <row r="73" spans="1:2" ht="10.9" customHeight="1" x14ac:dyDescent="0.25">
      <c r="A73" s="5">
        <f t="shared" si="1"/>
        <v>64</v>
      </c>
      <c r="B73" s="6" t="s">
        <v>100</v>
      </c>
    </row>
    <row r="74" spans="1:2" ht="10.9" customHeight="1" x14ac:dyDescent="0.25">
      <c r="A74" s="5">
        <f t="shared" si="1"/>
        <v>65</v>
      </c>
      <c r="B74" s="6" t="s">
        <v>101</v>
      </c>
    </row>
    <row r="75" spans="1:2" ht="11.1" customHeight="1" x14ac:dyDescent="0.25">
      <c r="A75" s="5">
        <f t="shared" si="1"/>
        <v>66</v>
      </c>
      <c r="B75" s="6" t="s">
        <v>102</v>
      </c>
    </row>
    <row r="76" spans="1:2" ht="10.9" customHeight="1" x14ac:dyDescent="0.25">
      <c r="A76" s="5">
        <f t="shared" si="1"/>
        <v>67</v>
      </c>
      <c r="B76" s="6" t="s">
        <v>103</v>
      </c>
    </row>
    <row r="77" spans="1:2" ht="10.9" customHeight="1" x14ac:dyDescent="0.25">
      <c r="A77" s="5">
        <f t="shared" si="1"/>
        <v>68</v>
      </c>
      <c r="B77" s="6" t="s">
        <v>104</v>
      </c>
    </row>
    <row r="78" spans="1:2" ht="10.9" customHeight="1" x14ac:dyDescent="0.25">
      <c r="A78" s="5">
        <f t="shared" si="1"/>
        <v>69</v>
      </c>
      <c r="B78" s="6" t="s">
        <v>105</v>
      </c>
    </row>
    <row r="79" spans="1:2" ht="11.1" customHeight="1" x14ac:dyDescent="0.25">
      <c r="A79" s="5">
        <f t="shared" si="1"/>
        <v>70</v>
      </c>
      <c r="B79" s="6" t="s">
        <v>106</v>
      </c>
    </row>
    <row r="80" spans="1:2" ht="10.7" customHeight="1" x14ac:dyDescent="0.25">
      <c r="A80" s="5">
        <f t="shared" si="1"/>
        <v>71</v>
      </c>
      <c r="B80" s="6" t="s">
        <v>107</v>
      </c>
    </row>
    <row r="81" spans="1:2" ht="10.9" customHeight="1" x14ac:dyDescent="0.25">
      <c r="A81" s="5">
        <f t="shared" si="1"/>
        <v>72</v>
      </c>
      <c r="B81" s="6" t="s">
        <v>108</v>
      </c>
    </row>
    <row r="82" spans="1:2" ht="10.9" customHeight="1" x14ac:dyDescent="0.25">
      <c r="A82" s="5">
        <f t="shared" si="1"/>
        <v>73</v>
      </c>
      <c r="B82" s="6" t="s">
        <v>109</v>
      </c>
    </row>
    <row r="83" spans="1:2" ht="10.7" customHeight="1" x14ac:dyDescent="0.25">
      <c r="A83" s="5">
        <f t="shared" si="1"/>
        <v>74</v>
      </c>
      <c r="B83" s="6" t="s">
        <v>110</v>
      </c>
    </row>
    <row r="84" spans="1:2" ht="10.9" customHeight="1" x14ac:dyDescent="0.25">
      <c r="A84" s="5">
        <f t="shared" si="1"/>
        <v>75</v>
      </c>
      <c r="B84" s="6" t="s">
        <v>111</v>
      </c>
    </row>
    <row r="85" spans="1:2" ht="10.7" customHeight="1" x14ac:dyDescent="0.25">
      <c r="A85" s="5">
        <f t="shared" si="1"/>
        <v>76</v>
      </c>
      <c r="B85" s="6" t="s">
        <v>112</v>
      </c>
    </row>
    <row r="86" spans="1:2" ht="10.9" customHeight="1" x14ac:dyDescent="0.25">
      <c r="A86" s="5">
        <f t="shared" si="1"/>
        <v>77</v>
      </c>
      <c r="B86" s="6" t="s">
        <v>113</v>
      </c>
    </row>
    <row r="87" spans="1:2" ht="10.7" customHeight="1" x14ac:dyDescent="0.25">
      <c r="A87" s="5">
        <f t="shared" si="1"/>
        <v>78</v>
      </c>
      <c r="B87" s="6" t="s">
        <v>114</v>
      </c>
    </row>
    <row r="88" spans="1:2" ht="10.9" customHeight="1" x14ac:dyDescent="0.25">
      <c r="A88" s="5">
        <f t="shared" si="1"/>
        <v>79</v>
      </c>
      <c r="B88" s="6" t="s">
        <v>115</v>
      </c>
    </row>
    <row r="89" spans="1:2" ht="10.9" customHeight="1" x14ac:dyDescent="0.25">
      <c r="A89" s="5">
        <f t="shared" si="1"/>
        <v>80</v>
      </c>
      <c r="B89" s="6" t="s">
        <v>116</v>
      </c>
    </row>
    <row r="90" spans="1:2" ht="11.1" customHeight="1" x14ac:dyDescent="0.25">
      <c r="A90" s="5">
        <f t="shared" si="1"/>
        <v>81</v>
      </c>
      <c r="B90" s="6" t="s">
        <v>117</v>
      </c>
    </row>
    <row r="91" spans="1:2" ht="10.9" customHeight="1" x14ac:dyDescent="0.25">
      <c r="A91" s="5">
        <f t="shared" si="1"/>
        <v>82</v>
      </c>
      <c r="B91" s="6" t="s">
        <v>118</v>
      </c>
    </row>
    <row r="92" spans="1:2" ht="11.1" customHeight="1" x14ac:dyDescent="0.25">
      <c r="A92" s="5">
        <f t="shared" si="1"/>
        <v>83</v>
      </c>
      <c r="B92" s="6" t="s">
        <v>119</v>
      </c>
    </row>
    <row r="93" spans="1:2" ht="11.25" customHeight="1" x14ac:dyDescent="0.25">
      <c r="A93" s="5">
        <f t="shared" si="1"/>
        <v>84</v>
      </c>
      <c r="B93" s="6" t="s">
        <v>120</v>
      </c>
    </row>
    <row r="94" spans="1:2" ht="11.25" customHeight="1" x14ac:dyDescent="0.25">
      <c r="A94" s="5">
        <f t="shared" si="1"/>
        <v>85</v>
      </c>
      <c r="B94" s="6" t="s">
        <v>121</v>
      </c>
    </row>
    <row r="95" spans="1:2" ht="11.45" customHeight="1" x14ac:dyDescent="0.25">
      <c r="A95" s="5">
        <f t="shared" si="1"/>
        <v>86</v>
      </c>
      <c r="B95" s="6" t="s">
        <v>122</v>
      </c>
    </row>
    <row r="96" spans="1:2" ht="11.1" customHeight="1" x14ac:dyDescent="0.25">
      <c r="A96" s="5">
        <f t="shared" si="1"/>
        <v>87</v>
      </c>
      <c r="B96" s="6" t="s">
        <v>123</v>
      </c>
    </row>
    <row r="97" spans="1:2" ht="10.7" customHeight="1" x14ac:dyDescent="0.25">
      <c r="A97" s="5">
        <f t="shared" si="1"/>
        <v>88</v>
      </c>
      <c r="B97" s="6" t="s">
        <v>124</v>
      </c>
    </row>
    <row r="98" spans="1:2" ht="10.9" customHeight="1" x14ac:dyDescent="0.25">
      <c r="A98" s="5">
        <f t="shared" si="1"/>
        <v>89</v>
      </c>
      <c r="B98" s="6" t="s">
        <v>125</v>
      </c>
    </row>
    <row r="99" spans="1:2" ht="10.9" customHeight="1" x14ac:dyDescent="0.25">
      <c r="A99" s="5">
        <f t="shared" si="1"/>
        <v>90</v>
      </c>
      <c r="B99" s="6" t="s">
        <v>126</v>
      </c>
    </row>
    <row r="100" spans="1:2" ht="10.35" customHeight="1" x14ac:dyDescent="0.25">
      <c r="A100" s="459" t="s">
        <v>127</v>
      </c>
      <c r="B100" s="459"/>
    </row>
    <row r="101" spans="1:2" ht="10.9" customHeight="1" x14ac:dyDescent="0.25">
      <c r="A101" s="5">
        <v>91</v>
      </c>
      <c r="B101" s="6" t="s">
        <v>128</v>
      </c>
    </row>
    <row r="102" spans="1:2" ht="10.9" customHeight="1" x14ac:dyDescent="0.25">
      <c r="A102" s="5">
        <f t="shared" si="1"/>
        <v>92</v>
      </c>
      <c r="B102" s="6" t="s">
        <v>129</v>
      </c>
    </row>
    <row r="103" spans="1:2" ht="10.9" customHeight="1" x14ac:dyDescent="0.25">
      <c r="A103" s="5">
        <f t="shared" si="1"/>
        <v>93</v>
      </c>
      <c r="B103" s="6" t="s">
        <v>130</v>
      </c>
    </row>
    <row r="104" spans="1:2" ht="10.7" customHeight="1" x14ac:dyDescent="0.25">
      <c r="A104" s="5">
        <f t="shared" si="1"/>
        <v>94</v>
      </c>
      <c r="B104" s="6" t="s">
        <v>131</v>
      </c>
    </row>
    <row r="105" spans="1:2" ht="10.9" customHeight="1" x14ac:dyDescent="0.25">
      <c r="A105" s="5">
        <f t="shared" si="1"/>
        <v>95</v>
      </c>
      <c r="B105" s="6" t="s">
        <v>132</v>
      </c>
    </row>
    <row r="106" spans="1:2" ht="10.7" customHeight="1" x14ac:dyDescent="0.25">
      <c r="A106" s="5">
        <f t="shared" si="1"/>
        <v>96</v>
      </c>
      <c r="B106" s="6" t="s">
        <v>133</v>
      </c>
    </row>
    <row r="107" spans="1:2" ht="11.1" customHeight="1" x14ac:dyDescent="0.25">
      <c r="A107" s="5">
        <f t="shared" si="1"/>
        <v>97</v>
      </c>
      <c r="B107" s="6" t="s">
        <v>134</v>
      </c>
    </row>
    <row r="108" spans="1:2" ht="10.35" customHeight="1" x14ac:dyDescent="0.25">
      <c r="A108" s="460" t="s">
        <v>135</v>
      </c>
      <c r="B108" s="460"/>
    </row>
    <row r="109" spans="1:2" ht="10.9" customHeight="1" x14ac:dyDescent="0.25">
      <c r="A109" s="5">
        <v>98</v>
      </c>
      <c r="B109" s="6" t="s">
        <v>136</v>
      </c>
    </row>
    <row r="110" spans="1:2" ht="10.7" customHeight="1" x14ac:dyDescent="0.25">
      <c r="A110" s="5">
        <f t="shared" si="1"/>
        <v>99</v>
      </c>
      <c r="B110" s="6" t="s">
        <v>137</v>
      </c>
    </row>
    <row r="111" spans="1:2" ht="10.9" customHeight="1" x14ac:dyDescent="0.25">
      <c r="A111" s="5">
        <f t="shared" si="1"/>
        <v>100</v>
      </c>
      <c r="B111" s="6" t="s">
        <v>138</v>
      </c>
    </row>
    <row r="112" spans="1:2" ht="10.7" customHeight="1" x14ac:dyDescent="0.25">
      <c r="A112" s="5">
        <f t="shared" si="1"/>
        <v>101</v>
      </c>
      <c r="B112" s="6" t="s">
        <v>139</v>
      </c>
    </row>
    <row r="113" spans="1:2" ht="10.9" customHeight="1" x14ac:dyDescent="0.25">
      <c r="A113" s="5">
        <f t="shared" si="1"/>
        <v>102</v>
      </c>
      <c r="B113" s="6" t="s">
        <v>140</v>
      </c>
    </row>
    <row r="114" spans="1:2" ht="10.9" customHeight="1" x14ac:dyDescent="0.25">
      <c r="A114" s="5">
        <f t="shared" si="1"/>
        <v>103</v>
      </c>
      <c r="B114" s="6" t="s">
        <v>141</v>
      </c>
    </row>
    <row r="115" spans="1:2" ht="10.9" customHeight="1" x14ac:dyDescent="0.25">
      <c r="A115" s="5">
        <f t="shared" si="1"/>
        <v>104</v>
      </c>
      <c r="B115" s="6" t="s">
        <v>142</v>
      </c>
    </row>
    <row r="116" spans="1:2" ht="11.1" customHeight="1" x14ac:dyDescent="0.25">
      <c r="A116" s="5">
        <f t="shared" si="1"/>
        <v>105</v>
      </c>
      <c r="B116" s="6" t="s">
        <v>143</v>
      </c>
    </row>
    <row r="117" spans="1:2" ht="10.35" customHeight="1" x14ac:dyDescent="0.25">
      <c r="A117" s="460" t="s">
        <v>144</v>
      </c>
      <c r="B117" s="460"/>
    </row>
    <row r="118" spans="1:2" ht="11.1" customHeight="1" x14ac:dyDescent="0.25">
      <c r="A118" s="5">
        <v>106</v>
      </c>
      <c r="B118" s="6" t="s">
        <v>145</v>
      </c>
    </row>
    <row r="119" spans="1:2" ht="10.7" customHeight="1" x14ac:dyDescent="0.25">
      <c r="A119" s="5">
        <f t="shared" si="1"/>
        <v>107</v>
      </c>
      <c r="B119" s="6" t="s">
        <v>146</v>
      </c>
    </row>
    <row r="120" spans="1:2" ht="10.9" customHeight="1" x14ac:dyDescent="0.25">
      <c r="A120" s="5">
        <f t="shared" si="1"/>
        <v>108</v>
      </c>
      <c r="B120" s="6" t="s">
        <v>147</v>
      </c>
    </row>
    <row r="121" spans="1:2" ht="10.7" customHeight="1" x14ac:dyDescent="0.25">
      <c r="A121" s="5">
        <f t="shared" si="1"/>
        <v>109</v>
      </c>
      <c r="B121" s="6" t="s">
        <v>148</v>
      </c>
    </row>
    <row r="122" spans="1:2" ht="10.9" customHeight="1" x14ac:dyDescent="0.25">
      <c r="A122" s="5">
        <f t="shared" si="1"/>
        <v>110</v>
      </c>
      <c r="B122" s="6" t="s">
        <v>149</v>
      </c>
    </row>
    <row r="123" spans="1:2" ht="10.7" customHeight="1" x14ac:dyDescent="0.25">
      <c r="A123" s="5">
        <f t="shared" si="1"/>
        <v>111</v>
      </c>
      <c r="B123" s="6" t="s">
        <v>150</v>
      </c>
    </row>
    <row r="124" spans="1:2" ht="10.9" customHeight="1" x14ac:dyDescent="0.25">
      <c r="A124" s="5">
        <f t="shared" si="1"/>
        <v>112</v>
      </c>
      <c r="B124" s="6" t="s">
        <v>151</v>
      </c>
    </row>
    <row r="125" spans="1:2" ht="10.9" customHeight="1" x14ac:dyDescent="0.25">
      <c r="A125" s="5">
        <f t="shared" si="1"/>
        <v>113</v>
      </c>
      <c r="B125" s="6" t="s">
        <v>152</v>
      </c>
    </row>
    <row r="126" spans="1:2" ht="10.9" customHeight="1" x14ac:dyDescent="0.25">
      <c r="A126" s="5">
        <f t="shared" si="1"/>
        <v>114</v>
      </c>
      <c r="B126" s="6" t="s">
        <v>153</v>
      </c>
    </row>
    <row r="127" spans="1:2" ht="10.7" customHeight="1" x14ac:dyDescent="0.25">
      <c r="A127" s="5">
        <f t="shared" si="1"/>
        <v>115</v>
      </c>
      <c r="B127" s="6" t="s">
        <v>154</v>
      </c>
    </row>
    <row r="128" spans="1:2" ht="10.9" customHeight="1" x14ac:dyDescent="0.25">
      <c r="A128" s="5">
        <f t="shared" si="1"/>
        <v>116</v>
      </c>
      <c r="B128" s="6" t="s">
        <v>155</v>
      </c>
    </row>
    <row r="129" spans="1:2" ht="10.5" customHeight="1" x14ac:dyDescent="0.25">
      <c r="A129" s="5">
        <f t="shared" si="1"/>
        <v>117</v>
      </c>
      <c r="B129" s="6" t="s">
        <v>156</v>
      </c>
    </row>
    <row r="130" spans="1:2" ht="11.1" customHeight="1" x14ac:dyDescent="0.25">
      <c r="A130" s="5">
        <f t="shared" si="1"/>
        <v>118</v>
      </c>
      <c r="B130" s="6" t="s">
        <v>157</v>
      </c>
    </row>
    <row r="131" spans="1:2" ht="10.9" customHeight="1" x14ac:dyDescent="0.25">
      <c r="A131" s="5">
        <f t="shared" si="1"/>
        <v>119</v>
      </c>
      <c r="B131" s="6" t="s">
        <v>158</v>
      </c>
    </row>
    <row r="132" spans="1:2" ht="10.9" customHeight="1" x14ac:dyDescent="0.25">
      <c r="A132" s="5">
        <f t="shared" si="1"/>
        <v>120</v>
      </c>
      <c r="B132" s="6" t="s">
        <v>159</v>
      </c>
    </row>
    <row r="133" spans="1:2" ht="10.9" customHeight="1" x14ac:dyDescent="0.25">
      <c r="A133" s="5">
        <f t="shared" si="1"/>
        <v>121</v>
      </c>
      <c r="B133" s="6" t="s">
        <v>160</v>
      </c>
    </row>
    <row r="134" spans="1:2" ht="10.9" customHeight="1" x14ac:dyDescent="0.25">
      <c r="A134" s="5">
        <f t="shared" si="1"/>
        <v>122</v>
      </c>
      <c r="B134" s="6" t="s">
        <v>161</v>
      </c>
    </row>
    <row r="135" spans="1:2" ht="10.9" customHeight="1" x14ac:dyDescent="0.25">
      <c r="A135" s="5">
        <f t="shared" si="1"/>
        <v>123</v>
      </c>
      <c r="B135" s="6" t="s">
        <v>162</v>
      </c>
    </row>
    <row r="136" spans="1:2" ht="10.9" customHeight="1" x14ac:dyDescent="0.25">
      <c r="A136" s="5">
        <f t="shared" ref="A136:A138" si="2">A135+1</f>
        <v>124</v>
      </c>
      <c r="B136" s="6" t="s">
        <v>163</v>
      </c>
    </row>
    <row r="137" spans="1:2" ht="10.9" customHeight="1" x14ac:dyDescent="0.25">
      <c r="A137" s="5">
        <f t="shared" si="2"/>
        <v>125</v>
      </c>
      <c r="B137" s="6" t="s">
        <v>164</v>
      </c>
    </row>
    <row r="138" spans="1:2" ht="10.9" customHeight="1" x14ac:dyDescent="0.25">
      <c r="A138" s="5">
        <f t="shared" si="2"/>
        <v>126</v>
      </c>
      <c r="B138" s="6" t="s">
        <v>165</v>
      </c>
    </row>
  </sheetData>
  <mergeCells count="11">
    <mergeCell ref="A35:B35"/>
    <mergeCell ref="A1:A3"/>
    <mergeCell ref="B1:B3"/>
    <mergeCell ref="A4:B4"/>
    <mergeCell ref="A11:B11"/>
    <mergeCell ref="A16:B16"/>
    <mergeCell ref="A65:B65"/>
    <mergeCell ref="A70:B70"/>
    <mergeCell ref="A100:B100"/>
    <mergeCell ref="A108:B108"/>
    <mergeCell ref="A117:B117"/>
  </mergeCells>
  <pageMargins left="0.7" right="0.7" top="0.75" bottom="0.75" header="0.3" footer="0.3"/>
  <pageSetup paperSize="1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1"/>
  <sheetViews>
    <sheetView view="pageBreakPreview" zoomScaleNormal="100" zoomScaleSheetLayoutView="100" workbookViewId="0">
      <pane ySplit="3" topLeftCell="A88" activePane="bottomLeft" state="frozen"/>
      <selection pane="bottomLeft" activeCell="A4" sqref="A4:A20"/>
    </sheetView>
  </sheetViews>
  <sheetFormatPr defaultRowHeight="15" x14ac:dyDescent="0.25"/>
  <cols>
    <col min="1" max="1" width="4.7109375" customWidth="1"/>
    <col min="2" max="2" width="4.7109375" style="12" customWidth="1"/>
    <col min="3" max="3" width="20.7109375" customWidth="1"/>
    <col min="4" max="4" width="9.85546875" style="20" customWidth="1"/>
    <col min="5" max="5" width="8.140625" customWidth="1"/>
    <col min="6" max="6" width="6.140625" customWidth="1"/>
    <col min="7" max="7" width="8.140625" style="15" customWidth="1"/>
    <col min="8" max="8" width="8.85546875" style="15" customWidth="1"/>
    <col min="9" max="9" width="8.5703125" style="15" customWidth="1"/>
    <col min="10" max="10" width="6.28515625" style="15" customWidth="1"/>
    <col min="11" max="11" width="8" style="15" customWidth="1"/>
    <col min="12" max="12" width="6.28515625" style="15" customWidth="1"/>
    <col min="13" max="13" width="7" style="15" customWidth="1"/>
    <col min="14" max="14" width="6.140625" style="15" customWidth="1"/>
    <col min="15" max="15" width="7" style="15" customWidth="1"/>
    <col min="16" max="16" width="6.28515625" style="15" customWidth="1"/>
    <col min="17" max="17" width="9.28515625" style="15" customWidth="1"/>
    <col min="18" max="18" width="7.7109375" style="15" customWidth="1"/>
    <col min="19" max="19" width="8.5703125" style="22" customWidth="1"/>
    <col min="20" max="20" width="8" style="15" customWidth="1"/>
    <col min="21" max="21" width="8.5703125" style="15" customWidth="1"/>
    <col min="22" max="22" width="6.42578125" style="15" customWidth="1"/>
    <col min="24" max="24" width="40.5703125" customWidth="1"/>
  </cols>
  <sheetData>
    <row r="1" spans="1:24" ht="15.2" customHeight="1" x14ac:dyDescent="0.25">
      <c r="A1" s="463" t="s">
        <v>0</v>
      </c>
      <c r="B1" s="463" t="s">
        <v>1</v>
      </c>
      <c r="C1" s="463"/>
      <c r="D1" s="465" t="s">
        <v>256</v>
      </c>
      <c r="E1" s="466" t="s">
        <v>2</v>
      </c>
      <c r="F1" s="466"/>
      <c r="G1" s="466"/>
      <c r="H1" s="466"/>
      <c r="I1" s="466" t="s">
        <v>3</v>
      </c>
      <c r="J1" s="466"/>
      <c r="K1" s="466"/>
      <c r="L1" s="466"/>
      <c r="M1" s="466"/>
      <c r="N1" s="466"/>
      <c r="O1" s="466"/>
      <c r="P1" s="466"/>
      <c r="Q1" s="466" t="s">
        <v>4</v>
      </c>
      <c r="R1" s="466"/>
      <c r="S1" s="466" t="s">
        <v>5</v>
      </c>
      <c r="T1" s="466"/>
      <c r="U1" s="466" t="s">
        <v>26</v>
      </c>
      <c r="V1" s="466"/>
      <c r="W1" s="63"/>
      <c r="X1" s="63"/>
    </row>
    <row r="2" spans="1:24" ht="39.75" customHeight="1" x14ac:dyDescent="0.25">
      <c r="A2" s="463" t="s">
        <v>0</v>
      </c>
      <c r="B2" s="463" t="s">
        <v>1</v>
      </c>
      <c r="C2" s="464"/>
      <c r="D2" s="465" t="s">
        <v>256</v>
      </c>
      <c r="E2" s="466" t="s">
        <v>6</v>
      </c>
      <c r="F2" s="466"/>
      <c r="G2" s="466" t="s">
        <v>7</v>
      </c>
      <c r="H2" s="466"/>
      <c r="I2" s="466" t="s">
        <v>8</v>
      </c>
      <c r="J2" s="466"/>
      <c r="K2" s="466" t="s">
        <v>9</v>
      </c>
      <c r="L2" s="466"/>
      <c r="M2" s="466" t="s">
        <v>10</v>
      </c>
      <c r="N2" s="466"/>
      <c r="O2" s="466" t="s">
        <v>11</v>
      </c>
      <c r="P2" s="466"/>
      <c r="Q2" s="466" t="s">
        <v>4</v>
      </c>
      <c r="R2" s="464"/>
      <c r="S2" s="466" t="s">
        <v>5</v>
      </c>
      <c r="T2" s="464"/>
      <c r="U2" s="466" t="s">
        <v>5</v>
      </c>
      <c r="V2" s="464"/>
      <c r="W2" s="63"/>
      <c r="X2" s="63"/>
    </row>
    <row r="3" spans="1:24" ht="12.95" customHeight="1" x14ac:dyDescent="0.25">
      <c r="A3" s="463" t="s">
        <v>0</v>
      </c>
      <c r="B3" s="463" t="s">
        <v>1</v>
      </c>
      <c r="C3" s="464"/>
      <c r="D3" s="465" t="s">
        <v>256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14</v>
      </c>
      <c r="J3" s="4" t="s">
        <v>13</v>
      </c>
      <c r="K3" s="4" t="s">
        <v>14</v>
      </c>
      <c r="L3" s="4" t="s">
        <v>16</v>
      </c>
      <c r="M3" s="4" t="s">
        <v>17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15</v>
      </c>
      <c r="S3" s="4" t="s">
        <v>20</v>
      </c>
      <c r="T3" s="4" t="s">
        <v>21</v>
      </c>
      <c r="U3" s="4" t="s">
        <v>27</v>
      </c>
      <c r="V3" s="4" t="s">
        <v>28</v>
      </c>
      <c r="W3" s="63"/>
      <c r="X3" s="63"/>
    </row>
    <row r="4" spans="1:24" ht="12" customHeight="1" x14ac:dyDescent="0.25">
      <c r="A4" s="469" t="s">
        <v>22</v>
      </c>
      <c r="B4" s="470" t="s">
        <v>166</v>
      </c>
      <c r="C4" s="470"/>
      <c r="D4" s="19"/>
      <c r="E4" s="1"/>
      <c r="F4" s="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21"/>
      <c r="T4" s="17"/>
      <c r="U4" s="17"/>
      <c r="V4" s="17"/>
      <c r="W4" s="63"/>
      <c r="X4" s="85"/>
    </row>
    <row r="5" spans="1:24" ht="12.75" customHeight="1" x14ac:dyDescent="0.25">
      <c r="A5" s="469" t="s">
        <v>22</v>
      </c>
      <c r="B5" s="11">
        <v>1</v>
      </c>
      <c r="C5" s="2" t="s">
        <v>174</v>
      </c>
      <c r="D5" s="24">
        <v>3921</v>
      </c>
      <c r="E5" s="25"/>
      <c r="F5" s="25"/>
      <c r="G5" s="76">
        <v>718</v>
      </c>
      <c r="H5" s="27">
        <f>G5*100/D5</f>
        <v>18.311655190002551</v>
      </c>
      <c r="I5" s="78"/>
      <c r="J5" s="25"/>
      <c r="K5" s="25">
        <v>718</v>
      </c>
      <c r="L5" s="27">
        <f>K5*100/D5</f>
        <v>18.311655190002551</v>
      </c>
      <c r="M5" s="25"/>
      <c r="N5" s="25"/>
      <c r="O5" s="25"/>
      <c r="P5" s="25"/>
      <c r="Q5" s="76">
        <v>718</v>
      </c>
      <c r="R5" s="27">
        <f>Q5*100/D5</f>
        <v>18.311655190002551</v>
      </c>
      <c r="S5" s="24">
        <v>1214</v>
      </c>
      <c r="T5" s="23">
        <f>S5*100/D5</f>
        <v>30.961489415965314</v>
      </c>
      <c r="U5" s="18" t="s">
        <v>255</v>
      </c>
      <c r="V5" s="3"/>
      <c r="W5" s="63"/>
      <c r="X5" s="85"/>
    </row>
    <row r="6" spans="1:24" ht="12.4" customHeight="1" x14ac:dyDescent="0.25">
      <c r="A6" s="469" t="s">
        <v>22</v>
      </c>
      <c r="B6" s="11">
        <v>2</v>
      </c>
      <c r="C6" s="2" t="s">
        <v>175</v>
      </c>
      <c r="D6" s="24">
        <v>1554</v>
      </c>
      <c r="E6" s="29"/>
      <c r="F6" s="29"/>
      <c r="G6" s="76">
        <v>518</v>
      </c>
      <c r="H6" s="27">
        <f>G6*100/D6</f>
        <v>33.333333333333336</v>
      </c>
      <c r="I6" s="78"/>
      <c r="J6" s="25"/>
      <c r="K6" s="25"/>
      <c r="L6" s="25"/>
      <c r="M6" s="25">
        <v>518</v>
      </c>
      <c r="N6" s="27">
        <v>33.333333333333336</v>
      </c>
      <c r="O6" s="25"/>
      <c r="P6" s="25"/>
      <c r="Q6" s="25">
        <v>518</v>
      </c>
      <c r="R6" s="27">
        <v>33.333333333333336</v>
      </c>
      <c r="S6" s="24">
        <v>150</v>
      </c>
      <c r="T6" s="23">
        <f t="shared" ref="T6:T13" si="0">S6*100/D6</f>
        <v>9.6525096525096519</v>
      </c>
      <c r="U6" s="18" t="s">
        <v>255</v>
      </c>
      <c r="V6" s="3"/>
      <c r="W6" s="63"/>
      <c r="X6" s="63"/>
    </row>
    <row r="7" spans="1:24" ht="12.6" customHeight="1" x14ac:dyDescent="0.25">
      <c r="A7" s="469" t="s">
        <v>22</v>
      </c>
      <c r="B7" s="11">
        <v>3</v>
      </c>
      <c r="C7" s="2" t="s">
        <v>176</v>
      </c>
      <c r="D7" s="45">
        <v>2906</v>
      </c>
      <c r="E7" s="29"/>
      <c r="F7" s="29"/>
      <c r="G7" s="22">
        <v>917</v>
      </c>
      <c r="H7" s="27">
        <f>G7*100/D7</f>
        <v>31.555402615278734</v>
      </c>
      <c r="I7" s="78"/>
      <c r="J7" s="25"/>
      <c r="K7" s="25"/>
      <c r="L7" s="25"/>
      <c r="M7" s="25"/>
      <c r="N7" s="25"/>
      <c r="O7" s="22">
        <v>917</v>
      </c>
      <c r="P7" s="27">
        <v>31.555402615278734</v>
      </c>
      <c r="Q7" s="22">
        <v>917</v>
      </c>
      <c r="R7" s="27">
        <v>31.555402615278734</v>
      </c>
      <c r="S7" s="25">
        <v>1757</v>
      </c>
      <c r="T7" s="23">
        <f t="shared" si="0"/>
        <v>60.461114934618031</v>
      </c>
      <c r="U7" s="18" t="s">
        <v>255</v>
      </c>
      <c r="V7" s="3"/>
      <c r="W7" s="63"/>
      <c r="X7" s="63"/>
    </row>
    <row r="8" spans="1:24" ht="12.4" customHeight="1" x14ac:dyDescent="0.25">
      <c r="A8" s="469" t="s">
        <v>22</v>
      </c>
      <c r="B8" s="11">
        <v>4</v>
      </c>
      <c r="C8" s="2" t="s">
        <v>177</v>
      </c>
      <c r="D8" s="22">
        <v>2831</v>
      </c>
      <c r="E8" s="77"/>
      <c r="F8" s="25"/>
      <c r="G8" s="22">
        <v>2220</v>
      </c>
      <c r="H8" s="27">
        <f>G8*100/D8</f>
        <v>78.417520310844225</v>
      </c>
      <c r="I8" s="79">
        <v>2220</v>
      </c>
      <c r="J8" s="27">
        <v>78.417520310844225</v>
      </c>
      <c r="K8" s="22"/>
      <c r="L8" s="25"/>
      <c r="M8" s="25"/>
      <c r="N8" s="25"/>
      <c r="O8" s="22">
        <v>2220</v>
      </c>
      <c r="P8" s="27">
        <v>78.417520310844225</v>
      </c>
      <c r="Q8" s="22">
        <v>2220</v>
      </c>
      <c r="R8" s="27">
        <v>78.417520310844225</v>
      </c>
      <c r="S8" s="25"/>
      <c r="T8" s="23"/>
      <c r="U8" s="3"/>
      <c r="V8" s="3"/>
      <c r="W8" s="63"/>
      <c r="X8" s="63"/>
    </row>
    <row r="9" spans="1:24" ht="12.4" customHeight="1" x14ac:dyDescent="0.25">
      <c r="A9" s="469" t="s">
        <v>22</v>
      </c>
      <c r="B9" s="11">
        <v>5</v>
      </c>
      <c r="C9" s="2" t="s">
        <v>178</v>
      </c>
      <c r="D9" s="24">
        <v>1813</v>
      </c>
      <c r="E9" s="25"/>
      <c r="F9" s="25"/>
      <c r="G9" s="76">
        <v>1104</v>
      </c>
      <c r="H9" s="27">
        <f t="shared" ref="H9:H13" si="1">G9*100/D9</f>
        <v>60.89354660783232</v>
      </c>
      <c r="I9" s="78"/>
      <c r="J9" s="25"/>
      <c r="K9" s="25"/>
      <c r="L9" s="25"/>
      <c r="M9" s="25"/>
      <c r="N9" s="25"/>
      <c r="O9" s="25">
        <v>1104</v>
      </c>
      <c r="P9" s="27">
        <v>60.89354660783232</v>
      </c>
      <c r="Q9" s="76">
        <v>1.1040000000000001</v>
      </c>
      <c r="R9" s="27">
        <v>60.89354660783232</v>
      </c>
      <c r="S9" s="24">
        <v>500</v>
      </c>
      <c r="T9" s="23">
        <f t="shared" si="0"/>
        <v>27.578599007170435</v>
      </c>
      <c r="U9" s="18" t="s">
        <v>255</v>
      </c>
      <c r="V9" s="3"/>
      <c r="W9" s="63"/>
      <c r="X9" s="63"/>
    </row>
    <row r="10" spans="1:24" ht="12.6" customHeight="1" x14ac:dyDescent="0.25">
      <c r="A10" s="469" t="s">
        <v>22</v>
      </c>
      <c r="B10" s="11">
        <v>6</v>
      </c>
      <c r="C10" s="2" t="s">
        <v>179</v>
      </c>
      <c r="D10" s="28"/>
      <c r="E10" s="25"/>
      <c r="F10" s="25"/>
      <c r="G10" s="25"/>
      <c r="H10" s="27"/>
      <c r="I10" s="78"/>
      <c r="J10" s="25"/>
      <c r="K10" s="25"/>
      <c r="L10" s="25"/>
      <c r="M10" s="25"/>
      <c r="N10" s="25"/>
      <c r="O10" s="25"/>
      <c r="P10" s="25"/>
      <c r="Q10" s="25"/>
      <c r="R10" s="27"/>
      <c r="S10" s="25"/>
      <c r="T10" s="23"/>
      <c r="U10" s="3"/>
      <c r="V10" s="3"/>
      <c r="W10" s="63"/>
      <c r="X10" s="63"/>
    </row>
    <row r="11" spans="1:24" ht="12.6" customHeight="1" x14ac:dyDescent="0.25">
      <c r="A11" s="469"/>
      <c r="B11" s="11">
        <v>7</v>
      </c>
      <c r="C11" s="2" t="s">
        <v>180</v>
      </c>
      <c r="D11" s="24">
        <v>3818</v>
      </c>
      <c r="E11" s="25"/>
      <c r="F11" s="25"/>
      <c r="G11" s="76">
        <v>833</v>
      </c>
      <c r="H11" s="27">
        <f t="shared" si="1"/>
        <v>21.817705605028809</v>
      </c>
      <c r="I11" s="78"/>
      <c r="J11" s="25"/>
      <c r="K11" s="25">
        <v>833</v>
      </c>
      <c r="L11" s="27">
        <v>21.817705605028809</v>
      </c>
      <c r="M11" s="25"/>
      <c r="N11" s="25"/>
      <c r="O11" s="25"/>
      <c r="P11" s="25"/>
      <c r="Q11" s="76">
        <v>833</v>
      </c>
      <c r="R11" s="27">
        <v>21.817705605028809</v>
      </c>
      <c r="S11" s="24">
        <v>991</v>
      </c>
      <c r="T11" s="23">
        <f t="shared" si="0"/>
        <v>25.955997904662127</v>
      </c>
      <c r="U11" s="18" t="s">
        <v>255</v>
      </c>
      <c r="V11" s="3"/>
      <c r="W11" s="63"/>
      <c r="X11" s="63"/>
    </row>
    <row r="12" spans="1:24" ht="12.6" customHeight="1" x14ac:dyDescent="0.25">
      <c r="A12" s="469"/>
      <c r="B12" s="11">
        <v>8</v>
      </c>
      <c r="C12" s="2" t="s">
        <v>181</v>
      </c>
      <c r="D12" s="28"/>
      <c r="E12" s="25"/>
      <c r="F12" s="25"/>
      <c r="G12" s="25"/>
      <c r="H12" s="27"/>
      <c r="I12" s="78"/>
      <c r="J12" s="25"/>
      <c r="K12" s="25"/>
      <c r="L12" s="27"/>
      <c r="M12" s="25"/>
      <c r="N12" s="25"/>
      <c r="O12" s="25"/>
      <c r="P12" s="25"/>
      <c r="Q12" s="25"/>
      <c r="R12" s="27"/>
      <c r="S12" s="25"/>
      <c r="T12" s="23"/>
      <c r="U12" s="3"/>
      <c r="V12" s="3"/>
      <c r="W12" s="63"/>
      <c r="X12" s="86"/>
    </row>
    <row r="13" spans="1:24" ht="12.6" customHeight="1" x14ac:dyDescent="0.25">
      <c r="A13" s="469"/>
      <c r="B13" s="11">
        <v>9</v>
      </c>
      <c r="C13" s="2" t="s">
        <v>182</v>
      </c>
      <c r="D13" s="24">
        <v>2858</v>
      </c>
      <c r="E13" s="25"/>
      <c r="F13" s="25"/>
      <c r="G13" s="76">
        <v>702</v>
      </c>
      <c r="H13" s="27">
        <f t="shared" si="1"/>
        <v>24.562631210636809</v>
      </c>
      <c r="I13" s="78"/>
      <c r="J13" s="25"/>
      <c r="K13" s="25">
        <v>702</v>
      </c>
      <c r="L13" s="27">
        <v>24.562631210636809</v>
      </c>
      <c r="M13" s="25"/>
      <c r="N13" s="25"/>
      <c r="O13" s="25"/>
      <c r="P13" s="25"/>
      <c r="Q13" s="76">
        <v>702</v>
      </c>
      <c r="R13" s="27">
        <v>24.562631210636809</v>
      </c>
      <c r="S13" s="24">
        <v>613</v>
      </c>
      <c r="T13" s="23">
        <f t="shared" si="0"/>
        <v>21.448565430370888</v>
      </c>
      <c r="U13" s="18" t="s">
        <v>255</v>
      </c>
      <c r="V13" s="3"/>
      <c r="W13" s="63"/>
      <c r="X13" s="63"/>
    </row>
    <row r="14" spans="1:24" ht="12.6" customHeight="1" x14ac:dyDescent="0.25">
      <c r="A14" s="469"/>
      <c r="B14" s="11">
        <v>10</v>
      </c>
      <c r="C14" s="2" t="s">
        <v>183</v>
      </c>
      <c r="D14" s="2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  <c r="U14" s="3"/>
      <c r="V14" s="3"/>
      <c r="W14" s="63"/>
      <c r="X14" s="63"/>
    </row>
    <row r="15" spans="1:24" ht="12.6" customHeight="1" x14ac:dyDescent="0.25">
      <c r="A15" s="469"/>
      <c r="B15" s="11">
        <v>11</v>
      </c>
      <c r="C15" s="2" t="s">
        <v>184</v>
      </c>
      <c r="D15" s="28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  <c r="U15" s="3"/>
      <c r="V15" s="3"/>
      <c r="W15" s="63"/>
      <c r="X15" s="63"/>
    </row>
    <row r="16" spans="1:24" ht="12.6" customHeight="1" x14ac:dyDescent="0.25">
      <c r="A16" s="469"/>
      <c r="B16" s="11">
        <v>12</v>
      </c>
      <c r="C16" s="2" t="s">
        <v>185</v>
      </c>
      <c r="D16" s="28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3"/>
      <c r="U16" s="3"/>
      <c r="V16" s="3"/>
      <c r="W16" s="63"/>
      <c r="X16" s="63"/>
    </row>
    <row r="17" spans="1:24" ht="12.6" customHeight="1" x14ac:dyDescent="0.25">
      <c r="A17" s="469"/>
      <c r="B17" s="11">
        <v>13</v>
      </c>
      <c r="C17" s="2" t="s">
        <v>186</v>
      </c>
      <c r="D17" s="2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3"/>
      <c r="U17" s="3"/>
      <c r="V17" s="3"/>
      <c r="W17" s="63"/>
      <c r="X17" s="63"/>
    </row>
    <row r="18" spans="1:24" ht="12.6" customHeight="1" x14ac:dyDescent="0.25">
      <c r="A18" s="469"/>
      <c r="B18" s="11">
        <v>14</v>
      </c>
      <c r="C18" s="2" t="s">
        <v>187</v>
      </c>
      <c r="D18" s="28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3"/>
      <c r="U18" s="3"/>
      <c r="V18" s="3"/>
      <c r="W18" s="63"/>
      <c r="X18" s="63"/>
    </row>
    <row r="19" spans="1:24" ht="12.6" customHeight="1" x14ac:dyDescent="0.25">
      <c r="A19" s="469"/>
      <c r="B19" s="11">
        <v>15</v>
      </c>
      <c r="C19" s="2" t="s">
        <v>253</v>
      </c>
      <c r="D19" s="2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3"/>
      <c r="U19" s="3"/>
      <c r="V19" s="3"/>
      <c r="W19" s="63"/>
      <c r="X19" s="63"/>
    </row>
    <row r="20" spans="1:24" ht="12.2" customHeight="1" x14ac:dyDescent="0.25">
      <c r="A20" s="469" t="s">
        <v>22</v>
      </c>
      <c r="B20" s="471" t="s">
        <v>23</v>
      </c>
      <c r="C20" s="471"/>
      <c r="D20" s="14">
        <f>SUM(D5:D19)</f>
        <v>19701</v>
      </c>
      <c r="E20" s="14">
        <f t="shared" ref="E20:V20" si="2">SUM(E5:E19)</f>
        <v>0</v>
      </c>
      <c r="F20" s="14">
        <f t="shared" si="2"/>
        <v>0</v>
      </c>
      <c r="G20" s="14">
        <f t="shared" si="2"/>
        <v>7012</v>
      </c>
      <c r="H20" s="14">
        <f t="shared" si="2"/>
        <v>268.89179487295678</v>
      </c>
      <c r="I20" s="14">
        <f t="shared" si="2"/>
        <v>2220</v>
      </c>
      <c r="J20" s="14">
        <f t="shared" si="2"/>
        <v>78.417520310844225</v>
      </c>
      <c r="K20" s="14">
        <f t="shared" si="2"/>
        <v>2253</v>
      </c>
      <c r="L20" s="14">
        <f t="shared" si="2"/>
        <v>64.691992005668169</v>
      </c>
      <c r="M20" s="14">
        <f t="shared" si="2"/>
        <v>518</v>
      </c>
      <c r="N20" s="14">
        <f t="shared" si="2"/>
        <v>33.333333333333336</v>
      </c>
      <c r="O20" s="14">
        <f t="shared" si="2"/>
        <v>4241</v>
      </c>
      <c r="P20" s="14">
        <f t="shared" si="2"/>
        <v>170.8664695339553</v>
      </c>
      <c r="Q20" s="14">
        <f t="shared" si="2"/>
        <v>5909.1040000000003</v>
      </c>
      <c r="R20" s="14">
        <f t="shared" si="2"/>
        <v>268.89179487295678</v>
      </c>
      <c r="S20" s="14">
        <f t="shared" si="2"/>
        <v>5225</v>
      </c>
      <c r="T20" s="14">
        <f t="shared" si="2"/>
        <v>176.05827634529643</v>
      </c>
      <c r="U20" s="14">
        <f t="shared" si="2"/>
        <v>0</v>
      </c>
      <c r="V20" s="14">
        <f t="shared" si="2"/>
        <v>0</v>
      </c>
      <c r="W20" s="63"/>
      <c r="X20" s="63"/>
    </row>
    <row r="21" spans="1:24" ht="12.2" customHeight="1" x14ac:dyDescent="0.25">
      <c r="A21" s="469" t="s">
        <v>24</v>
      </c>
      <c r="B21" s="470" t="s">
        <v>168</v>
      </c>
      <c r="C21" s="470"/>
      <c r="D21" s="19"/>
      <c r="E21" s="1"/>
      <c r="F21" s="1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1"/>
      <c r="T21" s="17"/>
      <c r="U21" s="17"/>
      <c r="V21" s="17"/>
      <c r="W21" s="63"/>
      <c r="X21" s="63"/>
    </row>
    <row r="22" spans="1:24" ht="12.75" customHeight="1" x14ac:dyDescent="0.25">
      <c r="A22" s="469" t="s">
        <v>24</v>
      </c>
      <c r="B22" s="11">
        <v>1</v>
      </c>
      <c r="C22" s="2" t="s">
        <v>247</v>
      </c>
      <c r="D22" s="45">
        <v>2135</v>
      </c>
      <c r="E22" s="33"/>
      <c r="F22" s="33"/>
      <c r="G22" s="47">
        <v>718</v>
      </c>
      <c r="H22" s="48">
        <f>G22*100/D22</f>
        <v>33.629976580796253</v>
      </c>
      <c r="I22" s="33"/>
      <c r="J22" s="33"/>
      <c r="K22" s="33">
        <v>718</v>
      </c>
      <c r="L22" s="33">
        <v>33.629976580796253</v>
      </c>
      <c r="M22" s="33"/>
      <c r="N22" s="33"/>
      <c r="O22" s="33"/>
      <c r="P22" s="33"/>
      <c r="Q22" s="33">
        <v>718</v>
      </c>
      <c r="R22" s="48">
        <v>33.629976580796253</v>
      </c>
      <c r="S22" s="45">
        <v>454</v>
      </c>
      <c r="T22" s="48">
        <f>S22*100/D22</f>
        <v>21.264637002341921</v>
      </c>
      <c r="U22" s="18" t="s">
        <v>255</v>
      </c>
      <c r="V22" s="3"/>
      <c r="W22" s="63"/>
      <c r="X22" s="63"/>
    </row>
    <row r="23" spans="1:24" ht="12.4" customHeight="1" x14ac:dyDescent="0.25">
      <c r="A23" s="469" t="s">
        <v>24</v>
      </c>
      <c r="B23" s="11">
        <v>2</v>
      </c>
      <c r="C23" s="2" t="s">
        <v>248</v>
      </c>
      <c r="D23" s="75">
        <v>2088</v>
      </c>
      <c r="E23" s="32"/>
      <c r="F23" s="81"/>
      <c r="G23" s="81">
        <v>883</v>
      </c>
      <c r="H23" s="82">
        <f t="shared" ref="H23:H27" si="3">G23*100/D23</f>
        <v>42.28927203065134</v>
      </c>
      <c r="I23" s="81"/>
      <c r="J23" s="33"/>
      <c r="K23" s="33"/>
      <c r="L23" s="33"/>
      <c r="M23" s="33"/>
      <c r="N23" s="33"/>
      <c r="O23" s="33">
        <v>883</v>
      </c>
      <c r="P23" s="48">
        <v>42.28927203065134</v>
      </c>
      <c r="Q23" s="33">
        <v>883</v>
      </c>
      <c r="R23" s="48">
        <v>42.28927203065134</v>
      </c>
      <c r="S23" s="33">
        <v>300</v>
      </c>
      <c r="T23" s="48">
        <f t="shared" ref="T23:T27" si="4">S23*100/D23</f>
        <v>14.367816091954023</v>
      </c>
      <c r="U23" s="18" t="s">
        <v>255</v>
      </c>
      <c r="V23" s="3"/>
      <c r="W23" s="63"/>
      <c r="X23" s="63"/>
    </row>
    <row r="24" spans="1:24" ht="12.6" customHeight="1" x14ac:dyDescent="0.25">
      <c r="A24" s="469" t="s">
        <v>24</v>
      </c>
      <c r="B24" s="11">
        <v>3</v>
      </c>
      <c r="C24" s="2" t="s">
        <v>249</v>
      </c>
      <c r="D24" s="49"/>
      <c r="E24" s="80"/>
      <c r="F24" s="41"/>
      <c r="G24" s="41"/>
      <c r="H24" s="83"/>
      <c r="I24" s="41"/>
      <c r="J24" s="36"/>
      <c r="K24" s="33"/>
      <c r="L24" s="33"/>
      <c r="M24" s="33"/>
      <c r="N24" s="33"/>
      <c r="O24" s="33"/>
      <c r="P24" s="48"/>
      <c r="Q24" s="33"/>
      <c r="R24" s="48"/>
      <c r="S24" s="33"/>
      <c r="T24" s="48"/>
      <c r="U24" s="3"/>
      <c r="V24" s="3"/>
      <c r="W24" s="63"/>
      <c r="X24" s="63"/>
    </row>
    <row r="25" spans="1:24" ht="12.4" customHeight="1" x14ac:dyDescent="0.25">
      <c r="A25" s="469" t="s">
        <v>24</v>
      </c>
      <c r="B25" s="11">
        <v>4</v>
      </c>
      <c r="C25" s="2" t="s">
        <v>250</v>
      </c>
      <c r="D25" s="45">
        <v>2733</v>
      </c>
      <c r="E25" s="80"/>
      <c r="F25" s="41"/>
      <c r="G25" s="84">
        <v>1258</v>
      </c>
      <c r="H25" s="83">
        <f t="shared" si="3"/>
        <v>46.0300036589828</v>
      </c>
      <c r="I25" s="41"/>
      <c r="J25" s="36"/>
      <c r="K25" s="33"/>
      <c r="L25" s="33"/>
      <c r="M25" s="33"/>
      <c r="N25" s="33"/>
      <c r="O25" s="33">
        <v>1258</v>
      </c>
      <c r="P25" s="48">
        <v>46.0300036589828</v>
      </c>
      <c r="Q25" s="33">
        <v>1258</v>
      </c>
      <c r="R25" s="48">
        <v>46.0300036589828</v>
      </c>
      <c r="S25" s="45">
        <v>1002</v>
      </c>
      <c r="T25" s="48">
        <f t="shared" si="4"/>
        <v>36.663007683863889</v>
      </c>
      <c r="U25" s="18" t="s">
        <v>255</v>
      </c>
      <c r="V25" s="3"/>
      <c r="W25" s="63"/>
      <c r="X25" s="63"/>
    </row>
    <row r="26" spans="1:24" ht="12.4" customHeight="1" x14ac:dyDescent="0.25">
      <c r="A26" s="469"/>
      <c r="B26" s="11">
        <v>5</v>
      </c>
      <c r="C26" s="2" t="s">
        <v>251</v>
      </c>
      <c r="D26" s="45">
        <v>2480</v>
      </c>
      <c r="E26" s="80"/>
      <c r="F26" s="41"/>
      <c r="G26" s="84">
        <v>720</v>
      </c>
      <c r="H26" s="83">
        <f t="shared" si="3"/>
        <v>29.032258064516128</v>
      </c>
      <c r="I26" s="41"/>
      <c r="J26" s="36"/>
      <c r="K26" s="84">
        <v>720</v>
      </c>
      <c r="L26" s="83">
        <v>29.032258064516128</v>
      </c>
      <c r="M26" s="33"/>
      <c r="N26" s="33"/>
      <c r="Q26" s="84">
        <v>720</v>
      </c>
      <c r="R26" s="83">
        <v>29.032258064516128</v>
      </c>
      <c r="S26" s="45">
        <v>1053</v>
      </c>
      <c r="T26" s="48">
        <f t="shared" si="4"/>
        <v>42.45967741935484</v>
      </c>
      <c r="U26" s="18" t="s">
        <v>255</v>
      </c>
      <c r="V26" s="3"/>
      <c r="W26" s="63"/>
      <c r="X26" s="63"/>
    </row>
    <row r="27" spans="1:24" ht="12.4" customHeight="1" x14ac:dyDescent="0.25">
      <c r="A27" s="469"/>
      <c r="B27" s="11">
        <v>6</v>
      </c>
      <c r="C27" s="2" t="s">
        <v>252</v>
      </c>
      <c r="D27" s="45">
        <v>1447</v>
      </c>
      <c r="E27" s="32"/>
      <c r="F27" s="41"/>
      <c r="G27" s="67">
        <v>665</v>
      </c>
      <c r="H27" s="83">
        <f t="shared" si="3"/>
        <v>45.957152729785761</v>
      </c>
      <c r="I27" s="41"/>
      <c r="J27" s="36"/>
      <c r="K27" s="33"/>
      <c r="L27" s="33"/>
      <c r="M27" s="33"/>
      <c r="N27" s="33"/>
      <c r="O27" s="45">
        <v>665</v>
      </c>
      <c r="P27" s="48">
        <v>45.957152729785761</v>
      </c>
      <c r="Q27" s="45">
        <v>665</v>
      </c>
      <c r="R27" s="48">
        <v>45.957152729785761</v>
      </c>
      <c r="S27" s="45">
        <v>231</v>
      </c>
      <c r="T27" s="48">
        <f t="shared" si="4"/>
        <v>15.964063579820317</v>
      </c>
      <c r="U27" s="18" t="s">
        <v>255</v>
      </c>
      <c r="V27" s="3"/>
      <c r="W27" s="63"/>
      <c r="X27" s="63"/>
    </row>
    <row r="28" spans="1:24" ht="12.2" customHeight="1" x14ac:dyDescent="0.25">
      <c r="A28" s="469" t="s">
        <v>24</v>
      </c>
      <c r="B28" s="471" t="s">
        <v>23</v>
      </c>
      <c r="C28" s="471"/>
      <c r="D28" s="14">
        <f>SUM(D22:D27)</f>
        <v>10883</v>
      </c>
      <c r="E28" s="14">
        <f t="shared" ref="E28:T28" si="5">SUM(E22:E27)</f>
        <v>0</v>
      </c>
      <c r="F28" s="14">
        <f t="shared" si="5"/>
        <v>0</v>
      </c>
      <c r="G28" s="14">
        <f t="shared" si="5"/>
        <v>4244</v>
      </c>
      <c r="H28" s="14">
        <f t="shared" si="5"/>
        <v>196.93866306473228</v>
      </c>
      <c r="I28" s="14">
        <f t="shared" si="5"/>
        <v>0</v>
      </c>
      <c r="J28" s="14">
        <f t="shared" si="5"/>
        <v>0</v>
      </c>
      <c r="K28" s="14">
        <f t="shared" si="5"/>
        <v>1438</v>
      </c>
      <c r="L28" s="14">
        <f t="shared" si="5"/>
        <v>62.662234645312381</v>
      </c>
      <c r="M28" s="14">
        <f t="shared" si="5"/>
        <v>0</v>
      </c>
      <c r="N28" s="14">
        <f t="shared" si="5"/>
        <v>0</v>
      </c>
      <c r="O28" s="14">
        <f t="shared" si="5"/>
        <v>2806</v>
      </c>
      <c r="P28" s="14">
        <f t="shared" si="5"/>
        <v>134.27642841941991</v>
      </c>
      <c r="Q28" s="14">
        <f t="shared" si="5"/>
        <v>4244</v>
      </c>
      <c r="R28" s="14">
        <f t="shared" si="5"/>
        <v>196.93866306473228</v>
      </c>
      <c r="S28" s="14">
        <f t="shared" si="5"/>
        <v>3040</v>
      </c>
      <c r="T28" s="14">
        <f t="shared" si="5"/>
        <v>130.71920177733497</v>
      </c>
      <c r="U28" s="8"/>
      <c r="V28" s="8"/>
      <c r="W28" s="63"/>
      <c r="X28" s="63"/>
    </row>
    <row r="29" spans="1:24" ht="12.2" customHeight="1" x14ac:dyDescent="0.25">
      <c r="A29" s="469"/>
      <c r="B29" s="470" t="s">
        <v>169</v>
      </c>
      <c r="C29" s="470"/>
      <c r="D29" s="19"/>
      <c r="E29" s="1"/>
      <c r="F29" s="1"/>
      <c r="G29" s="39"/>
      <c r="H29" s="39"/>
      <c r="I29" s="17"/>
      <c r="J29" s="17"/>
      <c r="K29" s="17"/>
      <c r="L29" s="3"/>
      <c r="M29" s="17"/>
      <c r="N29" s="17"/>
      <c r="O29" s="17"/>
      <c r="P29" s="17"/>
      <c r="Q29" s="17"/>
      <c r="R29" s="17"/>
      <c r="S29" s="21"/>
      <c r="T29" s="17"/>
      <c r="U29" s="17"/>
      <c r="V29" s="17"/>
      <c r="W29" s="63"/>
      <c r="X29" s="63"/>
    </row>
    <row r="30" spans="1:24" ht="12.75" customHeight="1" x14ac:dyDescent="0.25">
      <c r="A30" s="469"/>
      <c r="B30" s="11">
        <v>1</v>
      </c>
      <c r="C30" s="2" t="s">
        <v>196</v>
      </c>
      <c r="D30" s="24">
        <v>2756</v>
      </c>
      <c r="E30" s="25"/>
      <c r="F30" s="34"/>
      <c r="G30" s="44">
        <v>2085</v>
      </c>
      <c r="H30" s="83">
        <f>G30*100/D30</f>
        <v>75.653120464441216</v>
      </c>
      <c r="I30" s="37"/>
      <c r="J30" s="25"/>
      <c r="K30" s="25"/>
      <c r="L30" s="26"/>
      <c r="M30" s="25"/>
      <c r="N30" s="25"/>
      <c r="O30" s="25">
        <v>2085</v>
      </c>
      <c r="P30" s="27">
        <v>75.653120464441216</v>
      </c>
      <c r="Q30" s="25">
        <v>2085</v>
      </c>
      <c r="R30" s="27">
        <v>75.653120464441216</v>
      </c>
      <c r="S30" s="24">
        <v>940</v>
      </c>
      <c r="T30" s="25">
        <f>S30*100/D30</f>
        <v>34.107402031930334</v>
      </c>
      <c r="U30" s="18" t="s">
        <v>255</v>
      </c>
      <c r="V30" s="3"/>
      <c r="W30" s="63"/>
      <c r="X30" s="63"/>
    </row>
    <row r="31" spans="1:24" ht="12.6" customHeight="1" x14ac:dyDescent="0.25">
      <c r="A31" s="469"/>
      <c r="B31" s="11">
        <v>2</v>
      </c>
      <c r="C31" s="2" t="s">
        <v>197</v>
      </c>
      <c r="D31" s="28">
        <v>0</v>
      </c>
      <c r="E31" s="29"/>
      <c r="F31" s="35"/>
      <c r="G31" s="44"/>
      <c r="H31" s="83"/>
      <c r="I31" s="37"/>
      <c r="J31" s="25"/>
      <c r="K31" s="25"/>
      <c r="L31" s="25"/>
      <c r="M31" s="25"/>
      <c r="N31" s="25"/>
      <c r="O31" s="25"/>
      <c r="P31" s="27"/>
      <c r="Q31" s="25"/>
      <c r="R31" s="27"/>
      <c r="S31" s="25"/>
      <c r="T31" s="25"/>
      <c r="U31" s="25"/>
      <c r="V31" s="3"/>
      <c r="W31" s="63"/>
      <c r="X31" s="63"/>
    </row>
    <row r="32" spans="1:24" ht="12.4" customHeight="1" x14ac:dyDescent="0.25">
      <c r="A32" s="469"/>
      <c r="B32" s="11">
        <v>3</v>
      </c>
      <c r="C32" s="2" t="s">
        <v>198</v>
      </c>
      <c r="D32" s="24">
        <v>2866</v>
      </c>
      <c r="E32" s="25"/>
      <c r="F32" s="34"/>
      <c r="G32" s="44">
        <v>1982</v>
      </c>
      <c r="H32" s="83">
        <f t="shared" ref="H32:H36" si="6">G32*100/D32</f>
        <v>69.15561758548499</v>
      </c>
      <c r="I32" s="37"/>
      <c r="J32" s="25"/>
      <c r="K32" s="25"/>
      <c r="L32" s="25"/>
      <c r="M32" s="25"/>
      <c r="N32" s="25"/>
      <c r="O32" s="25">
        <v>1982</v>
      </c>
      <c r="P32" s="27">
        <v>69.15561758548499</v>
      </c>
      <c r="Q32" s="25">
        <v>1982</v>
      </c>
      <c r="R32" s="27">
        <v>69.15561758548499</v>
      </c>
      <c r="S32" s="25">
        <v>0</v>
      </c>
      <c r="T32" s="25">
        <f t="shared" ref="T32:T36" si="7">S32*100/D32</f>
        <v>0</v>
      </c>
      <c r="U32" s="18" t="s">
        <v>255</v>
      </c>
      <c r="V32" s="3"/>
      <c r="W32" s="63"/>
      <c r="X32" s="63"/>
    </row>
    <row r="33" spans="1:24" ht="12.6" customHeight="1" x14ac:dyDescent="0.25">
      <c r="A33" s="469"/>
      <c r="B33" s="11">
        <v>4</v>
      </c>
      <c r="C33" s="2" t="s">
        <v>199</v>
      </c>
      <c r="D33" s="28">
        <v>0</v>
      </c>
      <c r="E33" s="25"/>
      <c r="F33" s="34"/>
      <c r="G33" s="41"/>
      <c r="H33" s="83"/>
      <c r="I33" s="37"/>
      <c r="J33" s="25"/>
      <c r="K33" s="25"/>
      <c r="L33" s="25"/>
      <c r="M33" s="25"/>
      <c r="N33" s="25"/>
      <c r="O33" s="25"/>
      <c r="P33" s="27"/>
      <c r="Q33" s="25"/>
      <c r="R33" s="27"/>
      <c r="S33" s="25"/>
      <c r="T33" s="25"/>
      <c r="U33" s="25"/>
      <c r="V33" s="3"/>
      <c r="W33" s="63"/>
      <c r="X33" s="63"/>
    </row>
    <row r="34" spans="1:24" ht="12.6" customHeight="1" x14ac:dyDescent="0.25">
      <c r="A34" s="469"/>
      <c r="B34" s="11">
        <v>5</v>
      </c>
      <c r="C34" s="2" t="s">
        <v>200</v>
      </c>
      <c r="D34" s="28">
        <v>0</v>
      </c>
      <c r="E34" s="25"/>
      <c r="F34" s="25"/>
      <c r="G34" s="40"/>
      <c r="H34" s="97"/>
      <c r="I34" s="25"/>
      <c r="J34" s="25"/>
      <c r="K34" s="25"/>
      <c r="L34" s="25"/>
      <c r="M34" s="25"/>
      <c r="N34" s="25"/>
      <c r="O34" s="25"/>
      <c r="P34" s="27"/>
      <c r="Q34" s="25"/>
      <c r="R34" s="27"/>
      <c r="S34" s="25"/>
      <c r="T34" s="25"/>
      <c r="U34" s="25"/>
      <c r="V34" s="3"/>
      <c r="W34" s="63"/>
      <c r="X34" s="63"/>
    </row>
    <row r="35" spans="1:24" ht="12.4" customHeight="1" x14ac:dyDescent="0.25">
      <c r="A35" s="469"/>
      <c r="B35" s="11">
        <v>6</v>
      </c>
      <c r="C35" s="2" t="s">
        <v>201</v>
      </c>
      <c r="D35" s="24">
        <v>1651</v>
      </c>
      <c r="E35" s="30"/>
      <c r="F35" s="25"/>
      <c r="G35" s="26">
        <v>911</v>
      </c>
      <c r="H35" s="27">
        <f t="shared" si="6"/>
        <v>55.178679588128404</v>
      </c>
      <c r="I35" s="25"/>
      <c r="J35" s="25"/>
      <c r="K35" s="25"/>
      <c r="L35" s="25"/>
      <c r="M35" s="25"/>
      <c r="N35" s="25"/>
      <c r="O35" s="25">
        <v>911</v>
      </c>
      <c r="P35" s="27">
        <v>55.178679588128404</v>
      </c>
      <c r="Q35" s="25">
        <v>911</v>
      </c>
      <c r="R35" s="27">
        <v>55.178679588128404</v>
      </c>
      <c r="S35" s="25">
        <v>740</v>
      </c>
      <c r="T35" s="25">
        <f t="shared" si="7"/>
        <v>44.821320411871596</v>
      </c>
      <c r="U35" s="18" t="s">
        <v>255</v>
      </c>
      <c r="V35" s="3"/>
      <c r="W35" s="63"/>
      <c r="X35" s="63"/>
    </row>
    <row r="36" spans="1:24" ht="12.4" customHeight="1" x14ac:dyDescent="0.25">
      <c r="A36" s="469"/>
      <c r="B36" s="11">
        <v>7</v>
      </c>
      <c r="C36" s="2" t="s">
        <v>202</v>
      </c>
      <c r="D36" s="31">
        <v>1613</v>
      </c>
      <c r="E36" s="25"/>
      <c r="F36" s="25"/>
      <c r="G36" s="25">
        <v>1556</v>
      </c>
      <c r="H36" s="27">
        <f t="shared" si="6"/>
        <v>96.46621202727836</v>
      </c>
      <c r="I36" s="25">
        <v>1556</v>
      </c>
      <c r="J36" s="27">
        <v>96.46621202727836</v>
      </c>
      <c r="K36" s="25"/>
      <c r="L36" s="25"/>
      <c r="M36" s="25"/>
      <c r="N36" s="25"/>
      <c r="O36" s="25"/>
      <c r="P36" s="25"/>
      <c r="Q36" s="25">
        <v>1556</v>
      </c>
      <c r="R36" s="27">
        <v>96.46621202727836</v>
      </c>
      <c r="S36" s="25">
        <v>0</v>
      </c>
      <c r="T36" s="25">
        <f t="shared" si="7"/>
        <v>0</v>
      </c>
      <c r="U36" s="18" t="s">
        <v>255</v>
      </c>
      <c r="V36" s="3"/>
      <c r="W36" s="63"/>
      <c r="X36" s="63"/>
    </row>
    <row r="37" spans="1:24" ht="12.6" customHeight="1" x14ac:dyDescent="0.25">
      <c r="A37" s="469"/>
      <c r="B37" s="11">
        <v>8</v>
      </c>
      <c r="C37" s="2" t="s">
        <v>203</v>
      </c>
      <c r="D37" s="28">
        <v>0</v>
      </c>
      <c r="E37" s="29"/>
      <c r="F37" s="29"/>
      <c r="G37" s="25"/>
      <c r="H37" s="2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3"/>
      <c r="W37" s="63"/>
      <c r="X37" s="63"/>
    </row>
    <row r="38" spans="1:24" ht="12" customHeight="1" x14ac:dyDescent="0.25">
      <c r="A38" s="469"/>
      <c r="B38" s="467" t="s">
        <v>23</v>
      </c>
      <c r="C38" s="468"/>
      <c r="D38" s="14">
        <f>SUM(D30:D37)</f>
        <v>8886</v>
      </c>
      <c r="E38" s="14">
        <f t="shared" ref="E38:T38" si="8">SUM(E30:E37)</f>
        <v>0</v>
      </c>
      <c r="F38" s="14">
        <f t="shared" si="8"/>
        <v>0</v>
      </c>
      <c r="G38" s="14">
        <f t="shared" si="8"/>
        <v>6534</v>
      </c>
      <c r="H38" s="14">
        <f t="shared" si="8"/>
        <v>296.45362966533298</v>
      </c>
      <c r="I38" s="14">
        <f t="shared" si="8"/>
        <v>1556</v>
      </c>
      <c r="J38" s="14">
        <f t="shared" si="8"/>
        <v>96.46621202727836</v>
      </c>
      <c r="K38" s="14">
        <f t="shared" si="8"/>
        <v>0</v>
      </c>
      <c r="L38" s="14">
        <f t="shared" si="8"/>
        <v>0</v>
      </c>
      <c r="M38" s="14">
        <f t="shared" si="8"/>
        <v>0</v>
      </c>
      <c r="N38" s="14">
        <f t="shared" si="8"/>
        <v>0</v>
      </c>
      <c r="O38" s="14">
        <f t="shared" si="8"/>
        <v>4978</v>
      </c>
      <c r="P38" s="14">
        <f t="shared" si="8"/>
        <v>199.98741763805461</v>
      </c>
      <c r="Q38" s="14">
        <f t="shared" si="8"/>
        <v>6534</v>
      </c>
      <c r="R38" s="14">
        <f t="shared" si="8"/>
        <v>296.45362966533298</v>
      </c>
      <c r="S38" s="14">
        <f t="shared" si="8"/>
        <v>1680</v>
      </c>
      <c r="T38" s="14">
        <f t="shared" si="8"/>
        <v>78.928722443801931</v>
      </c>
      <c r="U38" s="8"/>
      <c r="V38" s="8"/>
      <c r="W38" s="63"/>
      <c r="X38" s="63"/>
    </row>
    <row r="39" spans="1:24" ht="12" customHeight="1" x14ac:dyDescent="0.25">
      <c r="A39" s="472">
        <v>4</v>
      </c>
      <c r="B39" s="470" t="s">
        <v>167</v>
      </c>
      <c r="C39" s="470"/>
      <c r="D39" s="51"/>
      <c r="E39" s="38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52"/>
      <c r="T39" s="39"/>
      <c r="U39" s="39"/>
      <c r="V39" s="17"/>
      <c r="W39" s="63"/>
      <c r="X39" s="63"/>
    </row>
    <row r="40" spans="1:24" ht="12" customHeight="1" x14ac:dyDescent="0.25">
      <c r="A40" s="473"/>
      <c r="B40" s="11">
        <v>1</v>
      </c>
      <c r="C40" s="50" t="s">
        <v>210</v>
      </c>
      <c r="D40" s="61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71"/>
      <c r="W40" s="63"/>
      <c r="X40" s="63"/>
    </row>
    <row r="41" spans="1:24" ht="12" customHeight="1" x14ac:dyDescent="0.25">
      <c r="A41" s="473"/>
      <c r="B41" s="11">
        <v>2</v>
      </c>
      <c r="C41" s="50" t="s">
        <v>211</v>
      </c>
      <c r="D41" s="61"/>
      <c r="E41" s="43"/>
      <c r="F41" s="43"/>
      <c r="G41" s="43"/>
      <c r="H41" s="43"/>
      <c r="I41" s="43"/>
      <c r="J41" s="43"/>
      <c r="K41" s="43"/>
      <c r="L41" s="60"/>
      <c r="M41" s="43"/>
      <c r="N41" s="43"/>
      <c r="O41" s="43"/>
      <c r="P41" s="43"/>
      <c r="Q41" s="43"/>
      <c r="R41" s="43"/>
      <c r="S41" s="43"/>
      <c r="T41" s="43"/>
      <c r="U41" s="43"/>
      <c r="V41" s="71"/>
      <c r="W41" s="63"/>
      <c r="X41" s="63"/>
    </row>
    <row r="42" spans="1:24" ht="12" customHeight="1" x14ac:dyDescent="0.25">
      <c r="A42" s="473"/>
      <c r="B42" s="11">
        <v>3</v>
      </c>
      <c r="C42" s="50" t="s">
        <v>212</v>
      </c>
      <c r="D42" s="56">
        <v>3624</v>
      </c>
      <c r="E42" s="56"/>
      <c r="F42" s="43"/>
      <c r="G42" s="43">
        <v>936</v>
      </c>
      <c r="H42" s="58">
        <f>G42*100/D42</f>
        <v>25.827814569536425</v>
      </c>
      <c r="I42" s="57"/>
      <c r="J42" s="43"/>
      <c r="K42" s="43">
        <v>936</v>
      </c>
      <c r="L42" s="60">
        <v>25.827814569536425</v>
      </c>
      <c r="M42" s="43"/>
      <c r="N42" s="43"/>
      <c r="O42" s="43"/>
      <c r="P42" s="43"/>
      <c r="Q42" s="43">
        <v>936</v>
      </c>
      <c r="R42" s="58">
        <v>25.827814569536425</v>
      </c>
      <c r="S42" s="43">
        <v>1910</v>
      </c>
      <c r="T42" s="58">
        <f>S42*100/D42</f>
        <v>52.70419426048565</v>
      </c>
      <c r="U42" s="18" t="s">
        <v>255</v>
      </c>
      <c r="V42" s="71"/>
      <c r="W42" s="63"/>
      <c r="X42" s="63"/>
    </row>
    <row r="43" spans="1:24" ht="12" customHeight="1" x14ac:dyDescent="0.25">
      <c r="A43" s="473"/>
      <c r="B43" s="11">
        <v>4</v>
      </c>
      <c r="C43" s="50" t="s">
        <v>213</v>
      </c>
      <c r="D43" s="61"/>
      <c r="E43" s="43"/>
      <c r="F43" s="43"/>
      <c r="G43" s="43"/>
      <c r="H43" s="58"/>
      <c r="I43" s="43"/>
      <c r="J43" s="43"/>
      <c r="K43" s="43"/>
      <c r="L43" s="60"/>
      <c r="M43" s="43"/>
      <c r="N43" s="43"/>
      <c r="O43" s="43"/>
      <c r="P43" s="43"/>
      <c r="Q43" s="43"/>
      <c r="R43" s="58"/>
      <c r="S43" s="43"/>
      <c r="T43" s="58"/>
      <c r="U43" s="43"/>
      <c r="V43" s="71"/>
      <c r="W43" s="63"/>
      <c r="X43" s="63"/>
    </row>
    <row r="44" spans="1:24" ht="12" customHeight="1" x14ac:dyDescent="0.25">
      <c r="A44" s="473"/>
      <c r="B44" s="11">
        <v>5</v>
      </c>
      <c r="C44" s="50" t="s">
        <v>214</v>
      </c>
      <c r="D44" s="61"/>
      <c r="E44" s="43"/>
      <c r="F44" s="43"/>
      <c r="G44" s="43"/>
      <c r="H44" s="58"/>
      <c r="I44" s="43"/>
      <c r="J44" s="43"/>
      <c r="K44" s="43"/>
      <c r="L44" s="60"/>
      <c r="M44" s="43"/>
      <c r="N44" s="43"/>
      <c r="O44" s="43"/>
      <c r="P44" s="43"/>
      <c r="Q44" s="43"/>
      <c r="R44" s="58"/>
      <c r="S44" s="43"/>
      <c r="T44" s="58"/>
      <c r="U44" s="43"/>
      <c r="V44" s="71"/>
      <c r="W44" s="63"/>
      <c r="X44" s="63"/>
    </row>
    <row r="45" spans="1:24" ht="12" customHeight="1" x14ac:dyDescent="0.25">
      <c r="A45" s="473"/>
      <c r="B45" s="11">
        <v>6</v>
      </c>
      <c r="C45" s="50" t="s">
        <v>215</v>
      </c>
      <c r="D45" s="55">
        <v>2716</v>
      </c>
      <c r="E45" s="43"/>
      <c r="F45" s="43"/>
      <c r="G45" s="57">
        <v>1290</v>
      </c>
      <c r="H45" s="58">
        <f t="shared" ref="H45:H49" si="9">G45*100/D45</f>
        <v>47.496318114874818</v>
      </c>
      <c r="I45" s="43"/>
      <c r="J45" s="43"/>
      <c r="K45" s="43"/>
      <c r="L45" s="60"/>
      <c r="M45" s="43"/>
      <c r="N45" s="43"/>
      <c r="O45" s="43">
        <v>1290</v>
      </c>
      <c r="P45" s="58">
        <v>47.496318114874818</v>
      </c>
      <c r="Q45" s="43">
        <v>1290</v>
      </c>
      <c r="R45" s="58">
        <v>47.496318114874818</v>
      </c>
      <c r="S45" s="55">
        <v>1487</v>
      </c>
      <c r="T45" s="58">
        <f t="shared" ref="T45:T49" si="10">S45*100/D45</f>
        <v>54.749631811487482</v>
      </c>
      <c r="U45" s="18" t="s">
        <v>255</v>
      </c>
      <c r="V45" s="71"/>
      <c r="W45" s="63"/>
      <c r="X45" s="63"/>
    </row>
    <row r="46" spans="1:24" ht="12" customHeight="1" x14ac:dyDescent="0.25">
      <c r="A46" s="473"/>
      <c r="B46" s="11">
        <v>7</v>
      </c>
      <c r="C46" s="50" t="s">
        <v>216</v>
      </c>
      <c r="D46" s="55">
        <v>1431</v>
      </c>
      <c r="E46" s="43"/>
      <c r="F46" s="43"/>
      <c r="G46" s="57">
        <v>809</v>
      </c>
      <c r="H46" s="58">
        <f t="shared" si="9"/>
        <v>56.533892382948984</v>
      </c>
      <c r="I46" s="43"/>
      <c r="J46" s="43"/>
      <c r="K46" s="43">
        <v>809</v>
      </c>
      <c r="L46" s="60">
        <v>56.533892382948984</v>
      </c>
      <c r="M46" s="43"/>
      <c r="N46" s="43"/>
      <c r="O46" s="43"/>
      <c r="P46" s="43"/>
      <c r="Q46" s="43">
        <v>809</v>
      </c>
      <c r="R46" s="58">
        <v>56.533892382948984</v>
      </c>
      <c r="S46" s="55">
        <v>763</v>
      </c>
      <c r="T46" s="58">
        <f t="shared" si="10"/>
        <v>53.319357092941999</v>
      </c>
      <c r="U46" s="18" t="s">
        <v>255</v>
      </c>
      <c r="V46" s="71"/>
      <c r="W46" s="63"/>
      <c r="X46" s="63"/>
    </row>
    <row r="47" spans="1:24" ht="12" customHeight="1" x14ac:dyDescent="0.25">
      <c r="A47" s="473"/>
      <c r="B47" s="11">
        <v>8</v>
      </c>
      <c r="C47" s="50" t="s">
        <v>217</v>
      </c>
      <c r="D47" s="55">
        <v>2262</v>
      </c>
      <c r="E47" s="43"/>
      <c r="F47" s="43"/>
      <c r="G47" s="46">
        <v>251</v>
      </c>
      <c r="H47" s="58">
        <f t="shared" si="9"/>
        <v>11.096374889478337</v>
      </c>
      <c r="I47" s="43"/>
      <c r="J47" s="43"/>
      <c r="K47" s="43"/>
      <c r="L47" s="60"/>
      <c r="M47" s="43"/>
      <c r="N47" s="43"/>
      <c r="O47" s="46">
        <v>251</v>
      </c>
      <c r="P47" s="58">
        <v>11.096374889478337</v>
      </c>
      <c r="Q47" s="46">
        <v>251</v>
      </c>
      <c r="R47" s="58">
        <v>11.096374889478337</v>
      </c>
      <c r="S47" s="55">
        <v>1134</v>
      </c>
      <c r="T47" s="58">
        <f t="shared" si="10"/>
        <v>50.132625994694962</v>
      </c>
      <c r="U47" s="18" t="s">
        <v>255</v>
      </c>
      <c r="V47" s="71"/>
      <c r="W47" s="63"/>
      <c r="X47" s="63"/>
    </row>
    <row r="48" spans="1:24" ht="12" customHeight="1" x14ac:dyDescent="0.25">
      <c r="A48" s="473"/>
      <c r="B48" s="11">
        <v>9</v>
      </c>
      <c r="C48" s="50" t="s">
        <v>218</v>
      </c>
      <c r="D48" s="55">
        <v>3168</v>
      </c>
      <c r="E48" s="43"/>
      <c r="F48" s="43"/>
      <c r="G48" s="57">
        <v>2136</v>
      </c>
      <c r="H48" s="58">
        <f t="shared" si="9"/>
        <v>67.424242424242422</v>
      </c>
      <c r="I48" s="43"/>
      <c r="J48" s="43"/>
      <c r="K48" s="43"/>
      <c r="L48" s="43"/>
      <c r="M48" s="43">
        <v>2136</v>
      </c>
      <c r="N48" s="58">
        <v>67.424242424242422</v>
      </c>
      <c r="O48" s="43"/>
      <c r="P48" s="43"/>
      <c r="Q48" s="43">
        <v>2136</v>
      </c>
      <c r="R48" s="58">
        <v>67.424242424242422</v>
      </c>
      <c r="S48" s="43">
        <v>1032</v>
      </c>
      <c r="T48" s="58">
        <f t="shared" si="10"/>
        <v>32.575757575757578</v>
      </c>
      <c r="U48" s="18" t="s">
        <v>255</v>
      </c>
      <c r="V48" s="71"/>
      <c r="W48" s="63"/>
      <c r="X48" s="63"/>
    </row>
    <row r="49" spans="1:24" ht="12" customHeight="1" x14ac:dyDescent="0.25">
      <c r="A49" s="473"/>
      <c r="B49" s="11">
        <v>10</v>
      </c>
      <c r="C49" s="50" t="s">
        <v>219</v>
      </c>
      <c r="D49" s="55">
        <v>1925</v>
      </c>
      <c r="E49" s="43"/>
      <c r="F49" s="43"/>
      <c r="G49" s="56">
        <v>1512</v>
      </c>
      <c r="H49" s="58">
        <f t="shared" si="9"/>
        <v>78.545454545454547</v>
      </c>
      <c r="I49" s="43"/>
      <c r="J49" s="43"/>
      <c r="K49" s="43"/>
      <c r="L49" s="43"/>
      <c r="M49" s="43">
        <v>1512</v>
      </c>
      <c r="N49" s="58">
        <v>78.545454545454547</v>
      </c>
      <c r="O49" s="43"/>
      <c r="P49" s="43"/>
      <c r="Q49" s="43">
        <v>1512</v>
      </c>
      <c r="R49" s="58">
        <v>78.545454545454547</v>
      </c>
      <c r="S49" s="55">
        <v>260</v>
      </c>
      <c r="T49" s="58">
        <f t="shared" si="10"/>
        <v>13.506493506493506</v>
      </c>
      <c r="U49" s="18" t="s">
        <v>255</v>
      </c>
      <c r="V49" s="71"/>
      <c r="W49" s="63"/>
      <c r="X49" s="63"/>
    </row>
    <row r="50" spans="1:24" ht="12" customHeight="1" x14ac:dyDescent="0.25">
      <c r="A50" s="473"/>
      <c r="B50" s="11">
        <v>11</v>
      </c>
      <c r="C50" s="50" t="s">
        <v>220</v>
      </c>
      <c r="D50" s="61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71"/>
      <c r="W50" s="87"/>
      <c r="X50" s="63"/>
    </row>
    <row r="51" spans="1:24" ht="12" customHeight="1" x14ac:dyDescent="0.25">
      <c r="A51" s="473"/>
      <c r="B51" s="11">
        <v>12</v>
      </c>
      <c r="C51" s="50" t="s">
        <v>221</v>
      </c>
      <c r="D51" s="61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71"/>
      <c r="W51" s="63"/>
      <c r="X51" s="63"/>
    </row>
    <row r="52" spans="1:24" ht="12" customHeight="1" x14ac:dyDescent="0.25">
      <c r="A52" s="473"/>
      <c r="B52" s="11">
        <v>13</v>
      </c>
      <c r="C52" s="2" t="s">
        <v>222</v>
      </c>
      <c r="D52" s="72"/>
      <c r="E52" s="73"/>
      <c r="F52" s="73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3"/>
      <c r="W52" s="63"/>
      <c r="X52" s="63"/>
    </row>
    <row r="53" spans="1:24" ht="12" customHeight="1" x14ac:dyDescent="0.25">
      <c r="A53" s="474"/>
      <c r="B53" s="11">
        <v>14</v>
      </c>
      <c r="C53" s="2" t="s">
        <v>223</v>
      </c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63"/>
      <c r="X53" s="63"/>
    </row>
    <row r="54" spans="1:24" ht="12" customHeight="1" x14ac:dyDescent="0.25">
      <c r="A54" s="7"/>
      <c r="B54" s="467" t="s">
        <v>23</v>
      </c>
      <c r="C54" s="468"/>
      <c r="D54" s="14">
        <f>SUM(D45:D53)</f>
        <v>11502</v>
      </c>
      <c r="E54" s="14">
        <f t="shared" ref="E54:T54" si="11">SUM(E45:E53)</f>
        <v>0</v>
      </c>
      <c r="F54" s="14">
        <f t="shared" si="11"/>
        <v>0</v>
      </c>
      <c r="G54" s="14">
        <f t="shared" si="11"/>
        <v>5998</v>
      </c>
      <c r="H54" s="14">
        <f t="shared" si="11"/>
        <v>261.0962823569991</v>
      </c>
      <c r="I54" s="14">
        <f t="shared" si="11"/>
        <v>0</v>
      </c>
      <c r="J54" s="14">
        <f t="shared" si="11"/>
        <v>0</v>
      </c>
      <c r="K54" s="14">
        <f t="shared" si="11"/>
        <v>809</v>
      </c>
      <c r="L54" s="14">
        <f t="shared" si="11"/>
        <v>56.533892382948984</v>
      </c>
      <c r="M54" s="14">
        <f t="shared" si="11"/>
        <v>3648</v>
      </c>
      <c r="N54" s="14">
        <f t="shared" si="11"/>
        <v>145.96969696969697</v>
      </c>
      <c r="O54" s="14">
        <f t="shared" si="11"/>
        <v>1541</v>
      </c>
      <c r="P54" s="14">
        <f t="shared" si="11"/>
        <v>58.592693004353151</v>
      </c>
      <c r="Q54" s="14">
        <f t="shared" si="11"/>
        <v>5998</v>
      </c>
      <c r="R54" s="14">
        <f t="shared" si="11"/>
        <v>261.0962823569991</v>
      </c>
      <c r="S54" s="14">
        <f t="shared" si="11"/>
        <v>4676</v>
      </c>
      <c r="T54" s="14">
        <f t="shared" si="11"/>
        <v>204.28386598137556</v>
      </c>
      <c r="U54" s="8"/>
      <c r="V54" s="8"/>
      <c r="W54" s="63"/>
      <c r="X54" s="63"/>
    </row>
    <row r="55" spans="1:24" ht="12" customHeight="1" x14ac:dyDescent="0.25">
      <c r="A55" s="472">
        <v>5</v>
      </c>
      <c r="B55" s="470" t="s">
        <v>170</v>
      </c>
      <c r="C55" s="470"/>
      <c r="D55" s="51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52"/>
      <c r="T55" s="39"/>
      <c r="U55" s="39"/>
      <c r="V55" s="39"/>
      <c r="W55" s="63"/>
      <c r="X55" s="63"/>
    </row>
    <row r="56" spans="1:24" ht="12" customHeight="1" x14ac:dyDescent="0.25">
      <c r="A56" s="473"/>
      <c r="B56" s="11">
        <v>1</v>
      </c>
      <c r="C56" s="50" t="s">
        <v>224</v>
      </c>
      <c r="D56" s="55">
        <v>2430</v>
      </c>
      <c r="E56" s="43"/>
      <c r="F56" s="43"/>
      <c r="G56" s="56">
        <v>935</v>
      </c>
      <c r="H56" s="59">
        <f>G56*100/D56</f>
        <v>38.477366255144034</v>
      </c>
      <c r="I56" s="56">
        <v>935</v>
      </c>
      <c r="J56" s="58">
        <v>38.477366255144034</v>
      </c>
      <c r="K56" s="43"/>
      <c r="L56" s="43"/>
      <c r="M56" s="43"/>
      <c r="N56" s="43"/>
      <c r="O56" s="43"/>
      <c r="P56" s="43"/>
      <c r="Q56" s="56">
        <v>935</v>
      </c>
      <c r="R56" s="58">
        <v>38.477366255144034</v>
      </c>
      <c r="S56" s="55">
        <v>151</v>
      </c>
      <c r="T56" s="58">
        <f>S56*100/D56</f>
        <v>6.2139917695473255</v>
      </c>
      <c r="U56" s="18" t="s">
        <v>255</v>
      </c>
      <c r="V56" s="43"/>
      <c r="W56" s="63"/>
      <c r="X56" s="63"/>
    </row>
    <row r="57" spans="1:24" ht="12" customHeight="1" x14ac:dyDescent="0.25">
      <c r="A57" s="473"/>
      <c r="B57" s="11">
        <v>2</v>
      </c>
      <c r="C57" s="50" t="s">
        <v>225</v>
      </c>
      <c r="D57" s="55">
        <v>2412</v>
      </c>
      <c r="E57" s="43"/>
      <c r="F57" s="43"/>
      <c r="G57" s="56">
        <v>460</v>
      </c>
      <c r="H57" s="59">
        <f t="shared" ref="H57:H67" si="12">G57*100/D57</f>
        <v>19.071310116086234</v>
      </c>
      <c r="I57" s="43"/>
      <c r="J57" s="58">
        <v>19.071310116086234</v>
      </c>
      <c r="K57" s="56">
        <v>460</v>
      </c>
      <c r="L57" s="58">
        <v>19.071310116086234</v>
      </c>
      <c r="M57" s="43"/>
      <c r="N57" s="43"/>
      <c r="O57" s="43"/>
      <c r="P57" s="43"/>
      <c r="Q57" s="56">
        <v>460</v>
      </c>
      <c r="R57" s="58">
        <v>19.071310116086234</v>
      </c>
      <c r="S57" s="55">
        <v>697</v>
      </c>
      <c r="T57" s="58">
        <f t="shared" ref="T57:T67" si="13">S57*100/D57</f>
        <v>28.897180762852404</v>
      </c>
      <c r="U57" s="18" t="s">
        <v>255</v>
      </c>
      <c r="V57" s="43"/>
      <c r="W57" s="63"/>
      <c r="X57" s="63"/>
    </row>
    <row r="58" spans="1:24" ht="12" customHeight="1" x14ac:dyDescent="0.25">
      <c r="A58" s="473"/>
      <c r="B58" s="11">
        <v>3</v>
      </c>
      <c r="C58" s="50" t="s">
        <v>226</v>
      </c>
      <c r="D58" s="15">
        <v>1708</v>
      </c>
      <c r="E58" s="43"/>
      <c r="F58" s="43"/>
      <c r="G58" s="43">
        <v>1586</v>
      </c>
      <c r="H58" s="59">
        <f t="shared" si="12"/>
        <v>92.857142857142861</v>
      </c>
      <c r="I58" s="43"/>
      <c r="J58" s="58"/>
      <c r="K58" s="43">
        <v>1586</v>
      </c>
      <c r="L58" s="58">
        <v>92.857142857142861</v>
      </c>
      <c r="M58" s="43"/>
      <c r="N58" s="43"/>
      <c r="O58" s="43"/>
      <c r="P58" s="43"/>
      <c r="Q58" s="43">
        <v>1586</v>
      </c>
      <c r="R58" s="58">
        <v>92.857142857142861</v>
      </c>
      <c r="S58" s="43"/>
      <c r="T58" s="58"/>
      <c r="U58" s="43"/>
      <c r="V58" s="43"/>
      <c r="W58" s="63"/>
      <c r="X58" s="63"/>
    </row>
    <row r="59" spans="1:24" ht="12" customHeight="1" x14ac:dyDescent="0.25">
      <c r="A59" s="473"/>
      <c r="B59" s="11">
        <v>4</v>
      </c>
      <c r="C59" s="50" t="s">
        <v>227</v>
      </c>
      <c r="D59" s="55">
        <v>2921</v>
      </c>
      <c r="E59" s="56"/>
      <c r="F59" s="43"/>
      <c r="G59" s="57">
        <v>963</v>
      </c>
      <c r="H59" s="59">
        <f t="shared" si="12"/>
        <v>32.96816158849709</v>
      </c>
      <c r="I59" s="43"/>
      <c r="J59" s="58">
        <v>32.96816158849709</v>
      </c>
      <c r="K59" s="43">
        <v>963</v>
      </c>
      <c r="L59" s="58">
        <v>32.96816158849709</v>
      </c>
      <c r="M59" s="43"/>
      <c r="N59" s="43"/>
      <c r="O59" s="43"/>
      <c r="P59" s="43"/>
      <c r="Q59" s="43">
        <v>963</v>
      </c>
      <c r="R59" s="58">
        <v>32.96816158849709</v>
      </c>
      <c r="S59" s="55">
        <v>1720</v>
      </c>
      <c r="T59" s="58">
        <f t="shared" si="13"/>
        <v>58.883943854844233</v>
      </c>
      <c r="U59" s="18" t="s">
        <v>255</v>
      </c>
      <c r="V59" s="43"/>
      <c r="W59" s="63"/>
      <c r="X59" s="63"/>
    </row>
    <row r="60" spans="1:24" ht="12" customHeight="1" x14ac:dyDescent="0.25">
      <c r="A60" s="473"/>
      <c r="B60" s="11">
        <v>5</v>
      </c>
      <c r="C60" s="50" t="s">
        <v>228</v>
      </c>
      <c r="D60" s="61"/>
      <c r="E60" s="43"/>
      <c r="F60" s="43"/>
      <c r="G60" s="43"/>
      <c r="H60" s="59"/>
      <c r="I60" s="43"/>
      <c r="J60" s="58"/>
      <c r="K60" s="43"/>
      <c r="L60" s="43"/>
      <c r="M60" s="43"/>
      <c r="N60" s="43"/>
      <c r="O60" s="43"/>
      <c r="P60" s="43"/>
      <c r="Q60" s="43"/>
      <c r="R60" s="58"/>
      <c r="S60" s="43"/>
      <c r="T60" s="58"/>
      <c r="U60" s="43"/>
      <c r="V60" s="43"/>
      <c r="W60" s="63"/>
      <c r="X60" s="63"/>
    </row>
    <row r="61" spans="1:24" ht="12" customHeight="1" x14ac:dyDescent="0.25">
      <c r="A61" s="473"/>
      <c r="B61" s="11">
        <v>6</v>
      </c>
      <c r="C61" s="50" t="s">
        <v>229</v>
      </c>
      <c r="D61" s="68">
        <v>6976</v>
      </c>
      <c r="E61" s="68"/>
      <c r="F61" s="43"/>
      <c r="G61" s="43">
        <v>1552</v>
      </c>
      <c r="H61" s="59">
        <f t="shared" si="12"/>
        <v>22.24770642201835</v>
      </c>
      <c r="I61" s="43">
        <v>1552</v>
      </c>
      <c r="J61" s="58">
        <v>22.24770642201835</v>
      </c>
      <c r="K61" s="43"/>
      <c r="L61" s="43"/>
      <c r="M61" s="43"/>
      <c r="N61" s="43"/>
      <c r="O61" s="43"/>
      <c r="P61" s="43"/>
      <c r="Q61" s="43">
        <v>1552</v>
      </c>
      <c r="R61" s="58">
        <v>22.24770642201835</v>
      </c>
      <c r="S61" s="43"/>
      <c r="T61" s="58"/>
      <c r="U61" s="18" t="s">
        <v>255</v>
      </c>
      <c r="V61" s="43"/>
      <c r="W61" s="63"/>
      <c r="X61" s="63"/>
    </row>
    <row r="62" spans="1:24" ht="12" customHeight="1" x14ac:dyDescent="0.25">
      <c r="A62" s="473"/>
      <c r="B62" s="11">
        <v>7</v>
      </c>
      <c r="C62" s="50" t="s">
        <v>230</v>
      </c>
      <c r="D62" s="69">
        <v>2300</v>
      </c>
      <c r="E62" s="43"/>
      <c r="F62" s="43"/>
      <c r="G62" s="43">
        <v>406</v>
      </c>
      <c r="H62" s="59">
        <f t="shared" si="12"/>
        <v>17.652173913043477</v>
      </c>
      <c r="I62" s="43"/>
      <c r="J62" s="58">
        <v>17.652173913043477</v>
      </c>
      <c r="K62" s="43"/>
      <c r="L62" s="43"/>
      <c r="M62" s="43"/>
      <c r="N62" s="43"/>
      <c r="O62" s="43">
        <v>406</v>
      </c>
      <c r="P62" s="58">
        <v>17.652173913043477</v>
      </c>
      <c r="Q62" s="43">
        <v>406</v>
      </c>
      <c r="R62" s="58">
        <v>17.652173913043477</v>
      </c>
      <c r="S62" s="43">
        <v>250</v>
      </c>
      <c r="T62" s="58">
        <f t="shared" si="13"/>
        <v>10.869565217391305</v>
      </c>
      <c r="U62" s="18" t="s">
        <v>255</v>
      </c>
      <c r="V62" s="43"/>
      <c r="W62" s="63"/>
      <c r="X62" s="63"/>
    </row>
    <row r="63" spans="1:24" ht="12" customHeight="1" x14ac:dyDescent="0.25">
      <c r="A63" s="473"/>
      <c r="B63" s="11">
        <v>8</v>
      </c>
      <c r="C63" s="50" t="s">
        <v>231</v>
      </c>
      <c r="D63" s="70"/>
      <c r="E63" s="56"/>
      <c r="F63" s="43"/>
      <c r="G63" s="43">
        <v>749</v>
      </c>
      <c r="H63" s="59"/>
      <c r="I63" s="57"/>
      <c r="J63" s="58"/>
      <c r="K63" s="43">
        <v>749</v>
      </c>
      <c r="L63" s="43"/>
      <c r="M63" s="43"/>
      <c r="N63" s="43"/>
      <c r="O63" s="43"/>
      <c r="P63" s="43"/>
      <c r="Q63" s="43">
        <v>749</v>
      </c>
      <c r="R63" s="58"/>
      <c r="S63" s="43"/>
      <c r="T63" s="58"/>
      <c r="U63" s="18" t="s">
        <v>255</v>
      </c>
      <c r="V63" s="43"/>
      <c r="W63" s="63"/>
      <c r="X63" s="63"/>
    </row>
    <row r="64" spans="1:24" ht="12" customHeight="1" x14ac:dyDescent="0.25">
      <c r="A64" s="473"/>
      <c r="B64" s="11">
        <v>9</v>
      </c>
      <c r="C64" s="50" t="s">
        <v>232</v>
      </c>
      <c r="D64" s="55">
        <v>3981</v>
      </c>
      <c r="E64" s="43"/>
      <c r="F64" s="43"/>
      <c r="G64" s="57">
        <v>738</v>
      </c>
      <c r="H64" s="59">
        <f t="shared" si="12"/>
        <v>18.538055764883197</v>
      </c>
      <c r="I64" s="43">
        <v>738</v>
      </c>
      <c r="J64" s="58">
        <v>18.538055764883197</v>
      </c>
      <c r="K64" s="43"/>
      <c r="L64" s="43"/>
      <c r="M64" s="43"/>
      <c r="N64" s="43"/>
      <c r="O64" s="43"/>
      <c r="P64" s="43"/>
      <c r="Q64" s="43">
        <v>738</v>
      </c>
      <c r="R64" s="58">
        <v>18.538055764883197</v>
      </c>
      <c r="S64" s="55">
        <v>2967</v>
      </c>
      <c r="T64" s="58">
        <f t="shared" si="13"/>
        <v>74.52901281085154</v>
      </c>
      <c r="U64" s="18" t="s">
        <v>255</v>
      </c>
      <c r="V64" s="43"/>
      <c r="W64" s="63"/>
      <c r="X64" s="63"/>
    </row>
    <row r="65" spans="1:24" ht="12" customHeight="1" x14ac:dyDescent="0.25">
      <c r="A65" s="473"/>
      <c r="B65" s="11">
        <v>10</v>
      </c>
      <c r="C65" s="50" t="s">
        <v>233</v>
      </c>
      <c r="D65" s="55">
        <v>3674</v>
      </c>
      <c r="E65" s="56"/>
      <c r="F65" s="43"/>
      <c r="G65" s="15">
        <v>2450</v>
      </c>
      <c r="H65" s="59">
        <f>G65*100/D65</f>
        <v>66.68481219379423</v>
      </c>
      <c r="I65" s="15">
        <v>2450</v>
      </c>
      <c r="J65" s="58">
        <v>66.68481219379423</v>
      </c>
      <c r="K65" s="43"/>
      <c r="L65" s="43"/>
      <c r="M65" s="43"/>
      <c r="N65" s="43"/>
      <c r="O65" s="43"/>
      <c r="P65" s="43"/>
      <c r="Q65" s="43">
        <v>2450</v>
      </c>
      <c r="R65" s="58">
        <v>66.68481219379423</v>
      </c>
      <c r="S65" s="55">
        <v>205</v>
      </c>
      <c r="T65" s="58">
        <f>S65*100/D65</f>
        <v>5.5797495917256397</v>
      </c>
      <c r="U65" s="18" t="s">
        <v>255</v>
      </c>
      <c r="V65" s="43"/>
      <c r="W65" s="63"/>
      <c r="X65" s="63"/>
    </row>
    <row r="66" spans="1:24" ht="12" customHeight="1" x14ac:dyDescent="0.25">
      <c r="A66" s="473"/>
      <c r="B66" s="11">
        <v>11</v>
      </c>
      <c r="C66" s="50" t="s">
        <v>234</v>
      </c>
      <c r="D66" s="61"/>
      <c r="E66" s="43"/>
      <c r="F66" s="43"/>
      <c r="G66" s="43"/>
      <c r="H66" s="59"/>
      <c r="I66" s="43"/>
      <c r="J66" s="58"/>
      <c r="K66" s="43"/>
      <c r="L66" s="43"/>
      <c r="M66" s="43"/>
      <c r="N66" s="43"/>
      <c r="O66" s="43"/>
      <c r="P66" s="43"/>
      <c r="Q66" s="43"/>
      <c r="R66" s="58"/>
      <c r="S66" s="43"/>
      <c r="T66" s="58"/>
      <c r="U66" s="43"/>
      <c r="V66" s="43"/>
      <c r="W66" s="63"/>
      <c r="X66" s="63"/>
    </row>
    <row r="67" spans="1:24" ht="12" customHeight="1" x14ac:dyDescent="0.25">
      <c r="A67" s="474"/>
      <c r="B67" s="11">
        <v>12</v>
      </c>
      <c r="C67" s="50" t="s">
        <v>235</v>
      </c>
      <c r="D67" s="55">
        <v>2794</v>
      </c>
      <c r="E67" s="43"/>
      <c r="F67" s="43"/>
      <c r="G67" s="57">
        <v>1221</v>
      </c>
      <c r="H67" s="59">
        <f t="shared" si="12"/>
        <v>43.7007874015748</v>
      </c>
      <c r="I67" s="43"/>
      <c r="J67" s="58"/>
      <c r="K67" s="43">
        <v>1221</v>
      </c>
      <c r="L67" s="58">
        <v>43.7007874015748</v>
      </c>
      <c r="M67" s="43"/>
      <c r="N67" s="43"/>
      <c r="O67" s="43"/>
      <c r="P67" s="43"/>
      <c r="Q67" s="43">
        <v>1221</v>
      </c>
      <c r="R67" s="58">
        <v>43.7007874015748</v>
      </c>
      <c r="S67" s="55">
        <v>944</v>
      </c>
      <c r="T67" s="58">
        <f t="shared" si="13"/>
        <v>33.786685755189694</v>
      </c>
      <c r="U67" s="18" t="s">
        <v>255</v>
      </c>
      <c r="V67" s="43"/>
      <c r="W67" s="63"/>
      <c r="X67" s="63"/>
    </row>
    <row r="68" spans="1:24" ht="12" customHeight="1" x14ac:dyDescent="0.25">
      <c r="A68" s="7"/>
      <c r="B68" s="467" t="s">
        <v>23</v>
      </c>
      <c r="C68" s="468"/>
      <c r="D68" s="53">
        <f>SUM(D56:D67)</f>
        <v>29196</v>
      </c>
      <c r="E68" s="53">
        <f t="shared" ref="E68:T68" si="14">SUM(E56:E67)</f>
        <v>0</v>
      </c>
      <c r="F68" s="53">
        <f t="shared" si="14"/>
        <v>0</v>
      </c>
      <c r="G68" s="53">
        <f t="shared" si="14"/>
        <v>11060</v>
      </c>
      <c r="H68" s="53">
        <f t="shared" si="14"/>
        <v>352.19751651218428</v>
      </c>
      <c r="I68" s="53">
        <f t="shared" si="14"/>
        <v>5675</v>
      </c>
      <c r="J68" s="53">
        <f t="shared" si="14"/>
        <v>215.63958625346663</v>
      </c>
      <c r="K68" s="53">
        <f t="shared" si="14"/>
        <v>4979</v>
      </c>
      <c r="L68" s="53">
        <f t="shared" si="14"/>
        <v>188.59740196330097</v>
      </c>
      <c r="M68" s="53">
        <f t="shared" si="14"/>
        <v>0</v>
      </c>
      <c r="N68" s="53">
        <f t="shared" si="14"/>
        <v>0</v>
      </c>
      <c r="O68" s="53">
        <f t="shared" si="14"/>
        <v>406</v>
      </c>
      <c r="P68" s="53">
        <f t="shared" si="14"/>
        <v>17.652173913043477</v>
      </c>
      <c r="Q68" s="53">
        <f t="shared" si="14"/>
        <v>11060</v>
      </c>
      <c r="R68" s="53">
        <f t="shared" si="14"/>
        <v>352.19751651218428</v>
      </c>
      <c r="S68" s="53">
        <f t="shared" si="14"/>
        <v>6934</v>
      </c>
      <c r="T68" s="53">
        <f t="shared" si="14"/>
        <v>218.76012976240216</v>
      </c>
      <c r="U68" s="54"/>
      <c r="V68" s="54"/>
      <c r="W68" s="63"/>
      <c r="X68" s="63"/>
    </row>
    <row r="69" spans="1:24" ht="12" customHeight="1" x14ac:dyDescent="0.25">
      <c r="A69" s="472">
        <v>6</v>
      </c>
      <c r="B69" s="470" t="s">
        <v>171</v>
      </c>
      <c r="C69" s="470"/>
      <c r="D69" s="51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52"/>
      <c r="T69" s="39"/>
      <c r="U69" s="17"/>
      <c r="V69" s="17"/>
      <c r="W69" s="63"/>
      <c r="X69" s="63"/>
    </row>
    <row r="70" spans="1:24" ht="12" customHeight="1" x14ac:dyDescent="0.25">
      <c r="A70" s="473"/>
      <c r="B70" s="11">
        <v>1</v>
      </c>
      <c r="C70" s="50" t="s">
        <v>204</v>
      </c>
      <c r="D70" s="55">
        <v>2201</v>
      </c>
      <c r="E70" s="43"/>
      <c r="F70" s="43"/>
      <c r="G70" s="43">
        <v>2002</v>
      </c>
      <c r="H70" s="58">
        <f>G70*100/D70</f>
        <v>90.958655156746929</v>
      </c>
      <c r="I70" s="43"/>
      <c r="J70" s="43"/>
      <c r="K70" s="43"/>
      <c r="L70" s="43"/>
      <c r="M70" s="43"/>
      <c r="N70" s="43"/>
      <c r="O70" s="43">
        <v>2002</v>
      </c>
      <c r="P70" s="58">
        <v>90.958655156746929</v>
      </c>
      <c r="Q70" s="43">
        <v>2002</v>
      </c>
      <c r="R70" s="58">
        <v>90.958655156746929</v>
      </c>
      <c r="S70" s="55">
        <v>439</v>
      </c>
      <c r="T70" s="58">
        <f>S70*100/D70</f>
        <v>19.945479327578372</v>
      </c>
      <c r="U70" s="18" t="s">
        <v>255</v>
      </c>
      <c r="V70" s="3"/>
      <c r="W70" s="63"/>
      <c r="X70" s="63"/>
    </row>
    <row r="71" spans="1:24" ht="12" customHeight="1" x14ac:dyDescent="0.25">
      <c r="A71" s="473"/>
      <c r="B71" s="11">
        <v>2</v>
      </c>
      <c r="C71" s="50" t="s">
        <v>205</v>
      </c>
      <c r="D71" s="61"/>
      <c r="E71" s="43"/>
      <c r="F71" s="43"/>
      <c r="G71" s="43"/>
      <c r="H71" s="58"/>
      <c r="I71" s="43"/>
      <c r="J71" s="43"/>
      <c r="K71" s="43"/>
      <c r="L71" s="43"/>
      <c r="M71" s="43"/>
      <c r="N71" s="43"/>
      <c r="O71" s="43"/>
      <c r="P71" s="58"/>
      <c r="Q71" s="43"/>
      <c r="R71" s="58"/>
      <c r="S71" s="43"/>
      <c r="T71" s="58"/>
      <c r="U71" s="37"/>
      <c r="V71" s="3"/>
      <c r="W71" s="63"/>
      <c r="X71" s="63"/>
    </row>
    <row r="72" spans="1:24" ht="12" customHeight="1" x14ac:dyDescent="0.25">
      <c r="A72" s="473"/>
      <c r="B72" s="11">
        <v>3</v>
      </c>
      <c r="C72" s="50" t="s">
        <v>206</v>
      </c>
      <c r="D72" s="61"/>
      <c r="E72" s="43"/>
      <c r="F72" s="43"/>
      <c r="G72" s="43"/>
      <c r="H72" s="58"/>
      <c r="I72" s="43"/>
      <c r="J72" s="43"/>
      <c r="K72" s="43"/>
      <c r="L72" s="43"/>
      <c r="M72" s="43"/>
      <c r="N72" s="43"/>
      <c r="O72" s="43"/>
      <c r="P72" s="58"/>
      <c r="Q72" s="43"/>
      <c r="R72" s="58"/>
      <c r="S72" s="43"/>
      <c r="T72" s="58"/>
      <c r="U72" s="37"/>
      <c r="V72" s="3"/>
      <c r="W72" s="63"/>
      <c r="X72" s="63"/>
    </row>
    <row r="73" spans="1:24" ht="12" customHeight="1" x14ac:dyDescent="0.25">
      <c r="A73" s="473"/>
      <c r="B73" s="11">
        <v>4</v>
      </c>
      <c r="C73" s="50" t="s">
        <v>207</v>
      </c>
      <c r="D73" s="61"/>
      <c r="E73" s="43"/>
      <c r="F73" s="43"/>
      <c r="G73" s="43"/>
      <c r="H73" s="58"/>
      <c r="I73" s="43"/>
      <c r="J73" s="43"/>
      <c r="K73" s="43"/>
      <c r="L73" s="43"/>
      <c r="M73" s="43"/>
      <c r="N73" s="43"/>
      <c r="O73" s="43"/>
      <c r="P73" s="58"/>
      <c r="Q73" s="43"/>
      <c r="R73" s="58"/>
      <c r="S73" s="43"/>
      <c r="T73" s="58"/>
      <c r="U73" s="37"/>
      <c r="V73" s="3"/>
      <c r="W73" s="63"/>
      <c r="X73" s="63"/>
    </row>
    <row r="74" spans="1:24" ht="12" customHeight="1" x14ac:dyDescent="0.25">
      <c r="A74" s="473"/>
      <c r="B74" s="11">
        <v>5</v>
      </c>
      <c r="C74" s="50" t="s">
        <v>208</v>
      </c>
      <c r="D74" s="55">
        <v>3208</v>
      </c>
      <c r="E74" s="43"/>
      <c r="F74" s="43"/>
      <c r="G74" s="56">
        <v>1480</v>
      </c>
      <c r="H74" s="58">
        <f t="shared" ref="H74:H75" si="15">G74*100/D74</f>
        <v>46.134663341645883</v>
      </c>
      <c r="I74" s="43"/>
      <c r="J74" s="43"/>
      <c r="K74" s="43"/>
      <c r="L74" s="43"/>
      <c r="M74" s="43"/>
      <c r="N74" s="43"/>
      <c r="O74" s="56">
        <v>1480</v>
      </c>
      <c r="P74" s="58">
        <v>46.134663341645883</v>
      </c>
      <c r="Q74" s="56">
        <v>1480</v>
      </c>
      <c r="R74" s="58">
        <v>46.134663341645883</v>
      </c>
      <c r="S74" s="55">
        <v>1235</v>
      </c>
      <c r="T74" s="58">
        <f t="shared" ref="T74:T75" si="16">S74*100/D74</f>
        <v>38.497506234413962</v>
      </c>
      <c r="U74" s="18" t="s">
        <v>255</v>
      </c>
      <c r="V74" s="3"/>
      <c r="W74" s="63"/>
      <c r="X74" s="63"/>
    </row>
    <row r="75" spans="1:24" ht="12" customHeight="1" x14ac:dyDescent="0.25">
      <c r="A75" s="473"/>
      <c r="B75" s="11">
        <v>6</v>
      </c>
      <c r="C75" s="50" t="s">
        <v>209</v>
      </c>
      <c r="D75" s="57">
        <v>1769</v>
      </c>
      <c r="E75" s="43"/>
      <c r="F75" s="43"/>
      <c r="G75" s="43">
        <v>731</v>
      </c>
      <c r="H75" s="58">
        <f t="shared" si="15"/>
        <v>41.322781232334655</v>
      </c>
      <c r="I75" s="43"/>
      <c r="J75" s="43"/>
      <c r="K75" s="43"/>
      <c r="L75" s="43"/>
      <c r="M75" s="43"/>
      <c r="N75" s="43"/>
      <c r="O75" s="43">
        <v>731</v>
      </c>
      <c r="P75" s="58">
        <v>41.322781232334655</v>
      </c>
      <c r="Q75" s="43">
        <v>731</v>
      </c>
      <c r="R75" s="58">
        <v>41.322781232334655</v>
      </c>
      <c r="S75" s="43"/>
      <c r="T75" s="58">
        <f t="shared" si="16"/>
        <v>0</v>
      </c>
      <c r="U75" s="18" t="s">
        <v>255</v>
      </c>
      <c r="V75" s="3"/>
      <c r="W75" s="63"/>
      <c r="X75" s="63"/>
    </row>
    <row r="76" spans="1:24" ht="12" customHeight="1" x14ac:dyDescent="0.25">
      <c r="A76" s="7"/>
      <c r="B76" s="467" t="s">
        <v>23</v>
      </c>
      <c r="C76" s="468"/>
      <c r="D76" s="53">
        <f>SUM(D70:D75)</f>
        <v>7178</v>
      </c>
      <c r="E76" s="53">
        <f t="shared" ref="E76:T76" si="17">SUM(E70:E75)</f>
        <v>0</v>
      </c>
      <c r="F76" s="53">
        <f t="shared" si="17"/>
        <v>0</v>
      </c>
      <c r="G76" s="53">
        <f t="shared" si="17"/>
        <v>4213</v>
      </c>
      <c r="H76" s="53">
        <f t="shared" si="17"/>
        <v>178.41609973072747</v>
      </c>
      <c r="I76" s="53">
        <f t="shared" si="17"/>
        <v>0</v>
      </c>
      <c r="J76" s="53">
        <f t="shared" si="17"/>
        <v>0</v>
      </c>
      <c r="K76" s="53">
        <f t="shared" si="17"/>
        <v>0</v>
      </c>
      <c r="L76" s="53">
        <f t="shared" si="17"/>
        <v>0</v>
      </c>
      <c r="M76" s="53">
        <f t="shared" si="17"/>
        <v>0</v>
      </c>
      <c r="N76" s="53">
        <f t="shared" si="17"/>
        <v>0</v>
      </c>
      <c r="O76" s="53">
        <f t="shared" si="17"/>
        <v>4213</v>
      </c>
      <c r="P76" s="53">
        <f t="shared" si="17"/>
        <v>178.41609973072747</v>
      </c>
      <c r="Q76" s="53">
        <f t="shared" si="17"/>
        <v>4213</v>
      </c>
      <c r="R76" s="53">
        <f t="shared" si="17"/>
        <v>178.41609973072747</v>
      </c>
      <c r="S76" s="53">
        <f t="shared" si="17"/>
        <v>1674</v>
      </c>
      <c r="T76" s="53">
        <f t="shared" si="17"/>
        <v>58.44298556199233</v>
      </c>
      <c r="U76" s="8"/>
      <c r="V76" s="8"/>
      <c r="W76" s="63"/>
      <c r="X76" s="63"/>
    </row>
    <row r="77" spans="1:24" s="10" customFormat="1" ht="12" customHeight="1" x14ac:dyDescent="0.25">
      <c r="A77" s="475">
        <v>7</v>
      </c>
      <c r="B77" s="470" t="s">
        <v>172</v>
      </c>
      <c r="C77" s="470"/>
      <c r="D77" s="51"/>
      <c r="E77" s="64"/>
      <c r="F77" s="38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52"/>
      <c r="T77" s="39"/>
      <c r="U77" s="39"/>
      <c r="V77" s="17"/>
      <c r="W77" s="63"/>
      <c r="X77" s="63"/>
    </row>
    <row r="78" spans="1:24" s="10" customFormat="1" ht="12" customHeight="1" x14ac:dyDescent="0.25">
      <c r="A78" s="476"/>
      <c r="B78" s="11">
        <v>1</v>
      </c>
      <c r="C78" s="50" t="s">
        <v>188</v>
      </c>
      <c r="D78" s="61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37"/>
      <c r="W78" s="63"/>
      <c r="X78" s="63"/>
    </row>
    <row r="79" spans="1:24" s="10" customFormat="1" ht="12" customHeight="1" x14ac:dyDescent="0.25">
      <c r="A79" s="476"/>
      <c r="B79" s="11">
        <v>2</v>
      </c>
      <c r="C79" s="50" t="s">
        <v>189</v>
      </c>
      <c r="D79" s="55">
        <v>4715</v>
      </c>
      <c r="E79" s="42"/>
      <c r="F79" s="65"/>
      <c r="G79" s="43">
        <v>192</v>
      </c>
      <c r="H79" s="58">
        <f>G79*100/D79</f>
        <v>4.0721102863202541</v>
      </c>
      <c r="I79" s="43">
        <v>192</v>
      </c>
      <c r="J79" s="58">
        <v>4.0721102863202541</v>
      </c>
      <c r="K79" s="43"/>
      <c r="L79" s="43"/>
      <c r="M79" s="43"/>
      <c r="N79" s="43"/>
      <c r="O79" s="43"/>
      <c r="P79" s="43"/>
      <c r="Q79" s="43">
        <v>192</v>
      </c>
      <c r="R79" s="58">
        <v>4.0721102863202541</v>
      </c>
      <c r="S79" s="55">
        <v>266</v>
      </c>
      <c r="T79" s="58">
        <f>S79*100/D79</f>
        <v>5.6415694591728522</v>
      </c>
      <c r="U79" s="18" t="s">
        <v>255</v>
      </c>
      <c r="V79" s="37"/>
      <c r="W79" s="63"/>
      <c r="X79" s="63"/>
    </row>
    <row r="80" spans="1:24" s="10" customFormat="1" ht="12" customHeight="1" x14ac:dyDescent="0.25">
      <c r="A80" s="476"/>
      <c r="B80" s="11">
        <v>3</v>
      </c>
      <c r="C80" s="50" t="s">
        <v>190</v>
      </c>
      <c r="D80" s="61"/>
      <c r="E80" s="43"/>
      <c r="F80" s="43"/>
      <c r="G80" s="43"/>
      <c r="H80" s="58"/>
      <c r="I80" s="43"/>
      <c r="J80" s="58"/>
      <c r="K80" s="43"/>
      <c r="L80" s="43"/>
      <c r="M80" s="43"/>
      <c r="N80" s="43"/>
      <c r="O80" s="43"/>
      <c r="P80" s="43"/>
      <c r="Q80" s="43"/>
      <c r="R80" s="58"/>
      <c r="S80" s="43"/>
      <c r="T80" s="58"/>
      <c r="U80" s="43"/>
      <c r="V80" s="37"/>
      <c r="W80" s="63"/>
      <c r="X80" s="63"/>
    </row>
    <row r="81" spans="1:24" s="10" customFormat="1" ht="12" customHeight="1" x14ac:dyDescent="0.25">
      <c r="A81" s="476"/>
      <c r="B81" s="11">
        <v>4</v>
      </c>
      <c r="C81" s="50" t="s">
        <v>191</v>
      </c>
      <c r="D81" s="61"/>
      <c r="E81" s="43"/>
      <c r="F81" s="43"/>
      <c r="G81" s="43"/>
      <c r="H81" s="58"/>
      <c r="I81" s="43"/>
      <c r="J81" s="58"/>
      <c r="K81" s="43"/>
      <c r="L81" s="43"/>
      <c r="M81" s="43"/>
      <c r="N81" s="43"/>
      <c r="O81" s="43"/>
      <c r="P81" s="43"/>
      <c r="Q81" s="43"/>
      <c r="R81" s="58"/>
      <c r="S81" s="43"/>
      <c r="T81" s="58"/>
      <c r="U81" s="43"/>
      <c r="V81" s="37"/>
      <c r="W81" s="63"/>
      <c r="X81" s="63"/>
    </row>
    <row r="82" spans="1:24" s="10" customFormat="1" ht="12" customHeight="1" x14ac:dyDescent="0.25">
      <c r="A82" s="476"/>
      <c r="B82" s="11">
        <v>5</v>
      </c>
      <c r="C82" s="50" t="s">
        <v>192</v>
      </c>
      <c r="D82" s="55">
        <v>2371</v>
      </c>
      <c r="E82" s="43"/>
      <c r="F82" s="43"/>
      <c r="G82" s="57">
        <v>721</v>
      </c>
      <c r="H82" s="58">
        <f>G82*100/D82</f>
        <v>30.409110080134965</v>
      </c>
      <c r="I82" s="43">
        <v>721</v>
      </c>
      <c r="J82" s="58">
        <v>30.409110080134965</v>
      </c>
      <c r="K82" s="43"/>
      <c r="L82" s="43"/>
      <c r="M82" s="43"/>
      <c r="N82" s="66"/>
      <c r="O82" s="43"/>
      <c r="P82" s="43"/>
      <c r="Q82" s="43">
        <v>721</v>
      </c>
      <c r="R82" s="58">
        <v>30.409110080134965</v>
      </c>
      <c r="S82" s="55">
        <v>1648</v>
      </c>
      <c r="T82" s="58">
        <f t="shared" ref="T82:T84" si="18">S82*100/D82</f>
        <v>69.50653732602278</v>
      </c>
      <c r="U82" s="18" t="s">
        <v>255</v>
      </c>
      <c r="V82" s="37"/>
      <c r="W82" s="63"/>
      <c r="X82" s="63"/>
    </row>
    <row r="83" spans="1:24" s="10" customFormat="1" ht="12" customHeight="1" x14ac:dyDescent="0.25">
      <c r="A83" s="476"/>
      <c r="B83" s="11">
        <v>6</v>
      </c>
      <c r="C83" s="50" t="s">
        <v>193</v>
      </c>
      <c r="D83" s="61"/>
      <c r="E83" s="43"/>
      <c r="F83" s="43"/>
      <c r="G83" s="43"/>
      <c r="H83" s="58"/>
      <c r="I83" s="43"/>
      <c r="J83" s="43"/>
      <c r="K83" s="43"/>
      <c r="L83" s="43"/>
      <c r="M83" s="43"/>
      <c r="N83" s="43"/>
      <c r="O83" s="43"/>
      <c r="P83" s="43"/>
      <c r="Q83" s="43"/>
      <c r="R83" s="58"/>
      <c r="S83" s="43"/>
      <c r="T83" s="58"/>
      <c r="U83" s="43"/>
      <c r="V83" s="37"/>
      <c r="W83" s="63"/>
      <c r="X83" s="63"/>
    </row>
    <row r="84" spans="1:24" s="10" customFormat="1" ht="12" customHeight="1" x14ac:dyDescent="0.25">
      <c r="A84" s="476"/>
      <c r="B84" s="11">
        <v>7</v>
      </c>
      <c r="C84" s="50" t="s">
        <v>194</v>
      </c>
      <c r="D84" s="55">
        <v>3799</v>
      </c>
      <c r="E84" s="43"/>
      <c r="F84" s="43"/>
      <c r="G84" s="57">
        <v>765</v>
      </c>
      <c r="H84" s="58">
        <f t="shared" ref="H84" si="19">G84*100/D84</f>
        <v>20.136878125822584</v>
      </c>
      <c r="I84" s="43"/>
      <c r="J84" s="43"/>
      <c r="K84" s="43">
        <v>765</v>
      </c>
      <c r="L84" s="58">
        <v>20.136878125822584</v>
      </c>
      <c r="M84" s="43"/>
      <c r="N84" s="43"/>
      <c r="O84" s="43"/>
      <c r="P84" s="43"/>
      <c r="Q84" s="43">
        <v>765</v>
      </c>
      <c r="R84" s="58">
        <v>20.136878125822584</v>
      </c>
      <c r="S84" s="55">
        <v>1910</v>
      </c>
      <c r="T84" s="58">
        <f t="shared" si="18"/>
        <v>50.276388523295601</v>
      </c>
      <c r="U84" s="18" t="s">
        <v>255</v>
      </c>
      <c r="V84" s="37"/>
      <c r="W84" s="63"/>
      <c r="X84" s="63"/>
    </row>
    <row r="85" spans="1:24" s="10" customFormat="1" ht="12" customHeight="1" x14ac:dyDescent="0.25">
      <c r="A85" s="476"/>
      <c r="B85" s="11">
        <v>8</v>
      </c>
      <c r="C85" s="50" t="s">
        <v>195</v>
      </c>
      <c r="D85" s="61"/>
      <c r="E85" s="65"/>
      <c r="F85" s="65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37"/>
      <c r="W85" s="63"/>
      <c r="X85" s="63"/>
    </row>
    <row r="86" spans="1:24" s="10" customFormat="1" ht="12" customHeight="1" x14ac:dyDescent="0.25">
      <c r="A86" s="9"/>
      <c r="B86" s="467" t="s">
        <v>23</v>
      </c>
      <c r="C86" s="468"/>
      <c r="D86" s="53">
        <f>SUM(D78:D85)</f>
        <v>10885</v>
      </c>
      <c r="E86" s="53">
        <f t="shared" ref="E86:T86" si="20">SUM(E78:E85)</f>
        <v>0</v>
      </c>
      <c r="F86" s="53">
        <f t="shared" si="20"/>
        <v>0</v>
      </c>
      <c r="G86" s="53">
        <f t="shared" si="20"/>
        <v>1678</v>
      </c>
      <c r="H86" s="53">
        <f t="shared" si="20"/>
        <v>54.618098492277802</v>
      </c>
      <c r="I86" s="53">
        <f t="shared" si="20"/>
        <v>913</v>
      </c>
      <c r="J86" s="53">
        <f t="shared" si="20"/>
        <v>34.481220366455219</v>
      </c>
      <c r="K86" s="53">
        <f t="shared" si="20"/>
        <v>765</v>
      </c>
      <c r="L86" s="53">
        <f t="shared" si="20"/>
        <v>20.136878125822584</v>
      </c>
      <c r="M86" s="53">
        <f t="shared" si="20"/>
        <v>0</v>
      </c>
      <c r="N86" s="53">
        <f t="shared" si="20"/>
        <v>0</v>
      </c>
      <c r="O86" s="53">
        <f t="shared" si="20"/>
        <v>0</v>
      </c>
      <c r="P86" s="53">
        <f t="shared" si="20"/>
        <v>0</v>
      </c>
      <c r="Q86" s="53">
        <f t="shared" si="20"/>
        <v>1678</v>
      </c>
      <c r="R86" s="53">
        <f t="shared" si="20"/>
        <v>54.618098492277802</v>
      </c>
      <c r="S86" s="53">
        <f t="shared" si="20"/>
        <v>3824</v>
      </c>
      <c r="T86" s="53">
        <f t="shared" si="20"/>
        <v>125.42449530849123</v>
      </c>
      <c r="U86" s="54"/>
      <c r="V86" s="8"/>
      <c r="W86" s="63"/>
      <c r="X86" s="63"/>
    </row>
    <row r="87" spans="1:24" s="10" customFormat="1" ht="12" customHeight="1" x14ac:dyDescent="0.25">
      <c r="A87" s="475">
        <v>8</v>
      </c>
      <c r="B87" s="470" t="s">
        <v>173</v>
      </c>
      <c r="C87" s="470"/>
      <c r="D87" s="51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52"/>
      <c r="T87" s="39"/>
      <c r="U87" s="17"/>
      <c r="V87" s="17"/>
      <c r="W87" s="63"/>
      <c r="X87" s="63"/>
    </row>
    <row r="88" spans="1:24" s="10" customFormat="1" ht="12" customHeight="1" x14ac:dyDescent="0.25">
      <c r="A88" s="476"/>
      <c r="B88" s="11">
        <v>1</v>
      </c>
      <c r="C88" s="50" t="s">
        <v>254</v>
      </c>
      <c r="D88" s="55">
        <v>1887</v>
      </c>
      <c r="E88" s="56"/>
      <c r="F88" s="43"/>
      <c r="G88" s="57">
        <v>706</v>
      </c>
      <c r="H88" s="58">
        <f>G88*100/D88</f>
        <v>37.413884472708006</v>
      </c>
      <c r="I88" s="43"/>
      <c r="J88" s="43"/>
      <c r="K88" s="43"/>
      <c r="L88" s="43"/>
      <c r="M88" s="43"/>
      <c r="N88" s="43"/>
      <c r="O88" s="43">
        <v>706</v>
      </c>
      <c r="P88" s="58">
        <v>37.413884472708006</v>
      </c>
      <c r="Q88" s="43">
        <v>706</v>
      </c>
      <c r="R88" s="58">
        <v>37.413884472708006</v>
      </c>
      <c r="S88" s="43">
        <v>311</v>
      </c>
      <c r="T88" s="58">
        <f t="shared" ref="T88:T93" si="21">S88*100/D88</f>
        <v>16.481187069422365</v>
      </c>
      <c r="U88" s="18" t="s">
        <v>255</v>
      </c>
      <c r="V88" s="3"/>
      <c r="W88" s="63"/>
      <c r="X88" s="63"/>
    </row>
    <row r="89" spans="1:24" s="10" customFormat="1" ht="12" customHeight="1" x14ac:dyDescent="0.25">
      <c r="A89" s="476"/>
      <c r="B89" s="11">
        <v>2</v>
      </c>
      <c r="C89" s="50" t="s">
        <v>236</v>
      </c>
      <c r="D89" s="55">
        <v>3240</v>
      </c>
      <c r="E89" s="43"/>
      <c r="F89" s="43"/>
      <c r="G89" s="57">
        <v>1218</v>
      </c>
      <c r="H89" s="58">
        <f>G89*100/D89</f>
        <v>37.592592592592595</v>
      </c>
      <c r="I89" s="43"/>
      <c r="J89" s="43"/>
      <c r="K89" s="43"/>
      <c r="L89" s="43"/>
      <c r="M89" s="43"/>
      <c r="N89" s="43"/>
      <c r="O89" s="57">
        <v>1.218</v>
      </c>
      <c r="P89" s="58">
        <v>37.592592592592595</v>
      </c>
      <c r="Q89" s="57">
        <v>1.218</v>
      </c>
      <c r="R89" s="58">
        <v>37.592592592592595</v>
      </c>
      <c r="S89" s="55">
        <v>558</v>
      </c>
      <c r="T89" s="58">
        <f t="shared" si="21"/>
        <v>17.222222222222221</v>
      </c>
      <c r="U89" s="18" t="s">
        <v>255</v>
      </c>
      <c r="V89" s="3"/>
      <c r="W89" s="63"/>
      <c r="X89" s="63"/>
    </row>
    <row r="90" spans="1:24" s="10" customFormat="1" ht="12" customHeight="1" x14ac:dyDescent="0.25">
      <c r="A90" s="476"/>
      <c r="B90" s="11">
        <v>3</v>
      </c>
      <c r="C90" s="50" t="s">
        <v>237</v>
      </c>
      <c r="D90" s="67">
        <v>3417</v>
      </c>
      <c r="E90" s="68"/>
      <c r="F90" s="43"/>
      <c r="G90" s="56">
        <v>1651</v>
      </c>
      <c r="H90" s="58">
        <f>G90*100/D90</f>
        <v>48.31723734269827</v>
      </c>
      <c r="I90" s="43"/>
      <c r="J90" s="43"/>
      <c r="K90" s="43"/>
      <c r="L90" s="43"/>
      <c r="M90" s="43"/>
      <c r="N90" s="43"/>
      <c r="O90" s="43">
        <v>1.651</v>
      </c>
      <c r="P90" s="58">
        <v>48.31723734269827</v>
      </c>
      <c r="Q90" s="43">
        <v>1.651</v>
      </c>
      <c r="R90" s="58">
        <v>48.31723734269827</v>
      </c>
      <c r="S90" s="55">
        <v>2941</v>
      </c>
      <c r="T90" s="58">
        <f t="shared" si="21"/>
        <v>86.069651741293526</v>
      </c>
      <c r="U90" s="18" t="s">
        <v>255</v>
      </c>
      <c r="V90" s="3"/>
      <c r="W90" s="63"/>
      <c r="X90" s="63"/>
    </row>
    <row r="91" spans="1:24" s="10" customFormat="1" ht="12" customHeight="1" x14ac:dyDescent="0.25">
      <c r="A91" s="476"/>
      <c r="B91" s="11">
        <v>4</v>
      </c>
      <c r="C91" s="50" t="s">
        <v>238</v>
      </c>
      <c r="D91" s="55">
        <v>3417</v>
      </c>
      <c r="E91" s="43"/>
      <c r="F91" s="43"/>
      <c r="G91" s="57">
        <v>2045</v>
      </c>
      <c r="H91" s="58">
        <f>G91*100/D91</f>
        <v>59.847819724904888</v>
      </c>
      <c r="I91" s="43"/>
      <c r="J91" s="43"/>
      <c r="K91" s="43"/>
      <c r="L91" s="43"/>
      <c r="M91" s="43"/>
      <c r="N91" s="43"/>
      <c r="O91" s="57">
        <v>2.0449999999999999</v>
      </c>
      <c r="P91" s="58">
        <v>59.847819724904888</v>
      </c>
      <c r="Q91" s="57">
        <v>2.0449999999999999</v>
      </c>
      <c r="R91" s="58">
        <v>59.847819724904888</v>
      </c>
      <c r="S91" s="55">
        <v>3308</v>
      </c>
      <c r="T91" s="60">
        <f t="shared" si="21"/>
        <v>96.810067310506298</v>
      </c>
      <c r="U91" s="18" t="s">
        <v>255</v>
      </c>
      <c r="V91" s="3"/>
      <c r="W91" s="63"/>
      <c r="X91" s="63"/>
    </row>
    <row r="92" spans="1:24" s="10" customFormat="1" ht="12" customHeight="1" x14ac:dyDescent="0.25">
      <c r="A92" s="476"/>
      <c r="B92" s="11">
        <v>5</v>
      </c>
      <c r="C92" s="50" t="s">
        <v>239</v>
      </c>
      <c r="D92" s="55">
        <v>5436</v>
      </c>
      <c r="E92" s="43"/>
      <c r="F92" s="43"/>
      <c r="G92" s="56">
        <v>2305</v>
      </c>
      <c r="H92" s="59">
        <f>G92*100/D92</f>
        <v>42.402501839587934</v>
      </c>
      <c r="I92" s="43"/>
      <c r="J92" s="43"/>
      <c r="K92" s="43"/>
      <c r="L92" s="43"/>
      <c r="M92" s="43"/>
      <c r="N92" s="43"/>
      <c r="O92" s="56">
        <v>2.3050000000000002</v>
      </c>
      <c r="P92" s="58">
        <v>42.402501839587934</v>
      </c>
      <c r="Q92" s="56">
        <v>2.3050000000000002</v>
      </c>
      <c r="R92" s="58">
        <v>42.402501839587934</v>
      </c>
      <c r="S92" s="55">
        <v>2638</v>
      </c>
      <c r="T92" s="60">
        <f t="shared" si="21"/>
        <v>48.528329654157467</v>
      </c>
      <c r="U92" s="18" t="s">
        <v>255</v>
      </c>
      <c r="V92" s="3"/>
      <c r="W92" s="63"/>
      <c r="X92" s="63"/>
    </row>
    <row r="93" spans="1:24" s="10" customFormat="1" ht="12" customHeight="1" x14ac:dyDescent="0.25">
      <c r="A93" s="476"/>
      <c r="B93" s="11">
        <v>6</v>
      </c>
      <c r="C93" s="50" t="s">
        <v>240</v>
      </c>
      <c r="D93" s="55">
        <v>4412</v>
      </c>
      <c r="E93" s="43"/>
      <c r="F93" s="43"/>
      <c r="G93" s="16">
        <v>3600</v>
      </c>
      <c r="H93" s="59">
        <f t="shared" ref="H93" si="22">G93*100/D93</f>
        <v>81.595648232094291</v>
      </c>
      <c r="I93" s="43"/>
      <c r="J93" s="43"/>
      <c r="K93" s="43"/>
      <c r="L93" s="43"/>
      <c r="M93" s="43"/>
      <c r="N93" s="43"/>
      <c r="O93" s="43">
        <v>3600</v>
      </c>
      <c r="P93" s="58">
        <v>81.595648232094291</v>
      </c>
      <c r="Q93" s="43">
        <v>3600</v>
      </c>
      <c r="R93" s="58">
        <v>81.595648232094291</v>
      </c>
      <c r="S93" s="55">
        <v>106</v>
      </c>
      <c r="T93" s="58">
        <f t="shared" si="21"/>
        <v>2.4025385312783318</v>
      </c>
      <c r="U93" s="18" t="s">
        <v>255</v>
      </c>
      <c r="V93" s="3"/>
      <c r="W93" s="63"/>
      <c r="X93" s="63"/>
    </row>
    <row r="94" spans="1:24" s="10" customFormat="1" ht="12" customHeight="1" x14ac:dyDescent="0.25">
      <c r="A94" s="476"/>
      <c r="B94" s="11">
        <v>7</v>
      </c>
      <c r="C94" s="50" t="s">
        <v>241</v>
      </c>
      <c r="D94" s="61"/>
      <c r="E94" s="43"/>
      <c r="F94" s="43"/>
      <c r="G94" s="43"/>
      <c r="H94" s="59"/>
      <c r="I94" s="43"/>
      <c r="J94" s="43"/>
      <c r="K94" s="43"/>
      <c r="L94" s="43"/>
      <c r="M94" s="43"/>
      <c r="N94" s="43"/>
      <c r="O94" s="43"/>
      <c r="P94" s="58"/>
      <c r="Q94" s="43"/>
      <c r="R94" s="58"/>
      <c r="S94" s="43"/>
      <c r="T94" s="43"/>
      <c r="U94" s="37"/>
      <c r="V94" s="3"/>
      <c r="W94" s="63"/>
      <c r="X94" s="63"/>
    </row>
    <row r="95" spans="1:24" s="10" customFormat="1" ht="12" customHeight="1" x14ac:dyDescent="0.25">
      <c r="A95" s="476"/>
      <c r="B95" s="11">
        <v>8</v>
      </c>
      <c r="C95" s="50" t="s">
        <v>242</v>
      </c>
      <c r="D95" s="55">
        <v>1497</v>
      </c>
      <c r="E95" s="43"/>
      <c r="F95" s="43"/>
      <c r="G95" s="57">
        <v>795</v>
      </c>
      <c r="H95" s="58">
        <f>G95*100/D95</f>
        <v>53.106212424849701</v>
      </c>
      <c r="I95" s="43"/>
      <c r="J95" s="43"/>
      <c r="K95" s="43"/>
      <c r="L95" s="43"/>
      <c r="M95" s="43"/>
      <c r="N95" s="43"/>
      <c r="O95" s="57">
        <v>795</v>
      </c>
      <c r="P95" s="58">
        <v>53.106212424849701</v>
      </c>
      <c r="Q95" s="57">
        <v>795</v>
      </c>
      <c r="R95" s="58">
        <v>53.106212424849701</v>
      </c>
      <c r="S95" s="55">
        <v>583</v>
      </c>
      <c r="T95" s="58">
        <f>S95*100/D95</f>
        <v>38.944555778223112</v>
      </c>
      <c r="U95" s="18" t="s">
        <v>255</v>
      </c>
      <c r="V95" s="3"/>
      <c r="W95" s="63"/>
      <c r="X95" s="63"/>
    </row>
    <row r="96" spans="1:24" s="10" customFormat="1" ht="12" customHeight="1" x14ac:dyDescent="0.25">
      <c r="A96" s="476"/>
      <c r="B96" s="11">
        <v>9</v>
      </c>
      <c r="C96" s="50" t="s">
        <v>243</v>
      </c>
      <c r="D96" s="55">
        <v>1887</v>
      </c>
      <c r="E96" s="43"/>
      <c r="F96" s="43"/>
      <c r="G96" s="57">
        <v>1523</v>
      </c>
      <c r="H96" s="58">
        <f t="shared" ref="H96:H99" si="23">G96*100/D96</f>
        <v>80.710121886592475</v>
      </c>
      <c r="I96" s="62"/>
      <c r="J96" s="43"/>
      <c r="K96" s="43"/>
      <c r="L96" s="43"/>
      <c r="M96" s="43"/>
      <c r="N96" s="43"/>
      <c r="O96" s="43">
        <v>1523</v>
      </c>
      <c r="P96" s="58">
        <v>80.710121886592475</v>
      </c>
      <c r="Q96" s="43">
        <v>1523</v>
      </c>
      <c r="R96" s="58">
        <v>80.710121886592475</v>
      </c>
      <c r="S96" s="55">
        <v>694</v>
      </c>
      <c r="T96" s="58">
        <f t="shared" ref="T96:T99" si="24">S96*100/D96</f>
        <v>36.777954425013249</v>
      </c>
      <c r="U96" s="18" t="s">
        <v>255</v>
      </c>
      <c r="V96" s="3"/>
      <c r="W96" s="63"/>
      <c r="X96" s="63"/>
    </row>
    <row r="97" spans="1:24" s="10" customFormat="1" ht="12" customHeight="1" x14ac:dyDescent="0.25">
      <c r="A97" s="476"/>
      <c r="B97" s="11">
        <v>10</v>
      </c>
      <c r="C97" s="50" t="s">
        <v>244</v>
      </c>
      <c r="D97" s="55">
        <v>3141</v>
      </c>
      <c r="E97" s="43"/>
      <c r="F97" s="43"/>
      <c r="G97" s="57">
        <v>1115</v>
      </c>
      <c r="H97" s="58">
        <f t="shared" si="23"/>
        <v>35.498248965297677</v>
      </c>
      <c r="I97" s="43"/>
      <c r="J97" s="43"/>
      <c r="K97" s="43"/>
      <c r="L97" s="43"/>
      <c r="M97" s="43"/>
      <c r="N97" s="43"/>
      <c r="O97" s="43">
        <v>1115</v>
      </c>
      <c r="P97" s="58">
        <v>35.498248965297677</v>
      </c>
      <c r="Q97" s="43">
        <v>1115</v>
      </c>
      <c r="R97" s="58">
        <v>35.498248965297677</v>
      </c>
      <c r="S97" s="55">
        <v>68</v>
      </c>
      <c r="T97" s="58">
        <f t="shared" si="24"/>
        <v>2.1649156319643428</v>
      </c>
      <c r="U97" s="18" t="s">
        <v>255</v>
      </c>
      <c r="V97" s="3"/>
      <c r="W97" s="63"/>
      <c r="X97" s="63"/>
    </row>
    <row r="98" spans="1:24" s="10" customFormat="1" ht="12" customHeight="1" x14ac:dyDescent="0.25">
      <c r="A98" s="476"/>
      <c r="B98" s="11">
        <v>11</v>
      </c>
      <c r="C98" s="50" t="s">
        <v>245</v>
      </c>
      <c r="D98" s="55">
        <v>3312</v>
      </c>
      <c r="E98" s="43"/>
      <c r="F98" s="43"/>
      <c r="G98" s="57">
        <v>3182</v>
      </c>
      <c r="H98" s="58">
        <f t="shared" si="23"/>
        <v>96.074879227053145</v>
      </c>
      <c r="I98" s="43"/>
      <c r="J98" s="43"/>
      <c r="K98" s="43"/>
      <c r="L98" s="43"/>
      <c r="M98" s="43"/>
      <c r="N98" s="43"/>
      <c r="O98" s="43">
        <v>3182</v>
      </c>
      <c r="P98" s="58">
        <v>96.074879227053145</v>
      </c>
      <c r="Q98" s="43">
        <v>3182</v>
      </c>
      <c r="R98" s="58">
        <v>96.074879227053145</v>
      </c>
      <c r="S98" s="43">
        <v>0</v>
      </c>
      <c r="T98" s="58">
        <f t="shared" si="24"/>
        <v>0</v>
      </c>
      <c r="U98" s="37"/>
      <c r="V98" s="3"/>
      <c r="W98" s="63"/>
      <c r="X98" s="63"/>
    </row>
    <row r="99" spans="1:24" s="10" customFormat="1" ht="12" customHeight="1" x14ac:dyDescent="0.25">
      <c r="A99" s="476"/>
      <c r="B99" s="11">
        <v>12</v>
      </c>
      <c r="C99" s="50" t="s">
        <v>246</v>
      </c>
      <c r="D99" s="55">
        <v>2466</v>
      </c>
      <c r="E99" s="43"/>
      <c r="F99" s="43"/>
      <c r="G99" s="43">
        <v>1110</v>
      </c>
      <c r="H99" s="58">
        <f t="shared" si="23"/>
        <v>45.012165450121657</v>
      </c>
      <c r="I99" s="43"/>
      <c r="J99" s="43"/>
      <c r="K99" s="43"/>
      <c r="L99" s="43"/>
      <c r="M99" s="43"/>
      <c r="N99" s="43"/>
      <c r="O99" s="43">
        <v>1110</v>
      </c>
      <c r="P99" s="58">
        <v>45.012165450121657</v>
      </c>
      <c r="Q99" s="43">
        <v>1110</v>
      </c>
      <c r="R99" s="58">
        <v>45.012165450121657</v>
      </c>
      <c r="S99" s="55">
        <v>1333</v>
      </c>
      <c r="T99" s="58">
        <f t="shared" si="24"/>
        <v>54.055150040551503</v>
      </c>
      <c r="U99" s="18" t="s">
        <v>255</v>
      </c>
      <c r="V99" s="3"/>
      <c r="W99" s="63"/>
      <c r="X99" s="63"/>
    </row>
    <row r="100" spans="1:24" s="10" customFormat="1" ht="12" customHeight="1" x14ac:dyDescent="0.25">
      <c r="A100" s="9"/>
      <c r="B100" s="467" t="s">
        <v>23</v>
      </c>
      <c r="C100" s="468"/>
      <c r="D100" s="53">
        <f>SUM(D88:D99)</f>
        <v>34112</v>
      </c>
      <c r="E100" s="53">
        <f t="shared" ref="E100:T100" si="25">SUM(E88:E99)</f>
        <v>0</v>
      </c>
      <c r="F100" s="53">
        <f t="shared" si="25"/>
        <v>0</v>
      </c>
      <c r="G100" s="53">
        <f t="shared" si="25"/>
        <v>19250</v>
      </c>
      <c r="H100" s="53">
        <f t="shared" si="25"/>
        <v>617.57131215850052</v>
      </c>
      <c r="I100" s="53">
        <f t="shared" si="25"/>
        <v>0</v>
      </c>
      <c r="J100" s="53">
        <f t="shared" si="25"/>
        <v>0</v>
      </c>
      <c r="K100" s="53">
        <f t="shared" si="25"/>
        <v>0</v>
      </c>
      <c r="L100" s="53">
        <f t="shared" si="25"/>
        <v>0</v>
      </c>
      <c r="M100" s="53">
        <f t="shared" si="25"/>
        <v>0</v>
      </c>
      <c r="N100" s="53">
        <f t="shared" si="25"/>
        <v>0</v>
      </c>
      <c r="O100" s="53">
        <f t="shared" si="25"/>
        <v>12038.219000000001</v>
      </c>
      <c r="P100" s="53">
        <f t="shared" si="25"/>
        <v>617.57131215850052</v>
      </c>
      <c r="Q100" s="53">
        <f t="shared" si="25"/>
        <v>12038.219000000001</v>
      </c>
      <c r="R100" s="53">
        <f t="shared" si="25"/>
        <v>617.57131215850052</v>
      </c>
      <c r="S100" s="53">
        <f t="shared" si="25"/>
        <v>12540</v>
      </c>
      <c r="T100" s="53">
        <f t="shared" si="25"/>
        <v>399.45657240463237</v>
      </c>
      <c r="U100" s="8"/>
      <c r="V100" s="8"/>
      <c r="W100" s="63"/>
      <c r="X100" s="63"/>
    </row>
    <row r="101" spans="1:24" ht="12.2" customHeight="1" x14ac:dyDescent="0.25">
      <c r="A101" s="88"/>
      <c r="B101" s="478" t="s">
        <v>25</v>
      </c>
      <c r="C101" s="479"/>
      <c r="D101" s="89"/>
      <c r="E101" s="90"/>
      <c r="F101" s="90"/>
      <c r="G101" s="91"/>
      <c r="H101" s="91"/>
      <c r="I101" s="9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63"/>
      <c r="X101" s="63"/>
    </row>
    <row r="102" spans="1:24" x14ac:dyDescent="0.25">
      <c r="A102" s="93"/>
      <c r="B102" s="92"/>
      <c r="C102" s="93"/>
      <c r="D102" s="94"/>
      <c r="E102" s="93"/>
      <c r="F102" s="93"/>
      <c r="G102" s="95"/>
      <c r="H102" s="95"/>
      <c r="I102" s="95"/>
      <c r="W102" s="63"/>
      <c r="X102" s="63"/>
    </row>
    <row r="103" spans="1:24" x14ac:dyDescent="0.25">
      <c r="A103" s="93"/>
      <c r="B103" s="92"/>
      <c r="C103" s="93"/>
      <c r="D103" s="94"/>
      <c r="E103" s="93"/>
      <c r="F103" s="93"/>
      <c r="G103" s="95"/>
      <c r="H103" s="95"/>
      <c r="I103" s="95"/>
      <c r="W103" s="63"/>
      <c r="X103" s="63"/>
    </row>
    <row r="104" spans="1:24" x14ac:dyDescent="0.25">
      <c r="A104" s="93"/>
      <c r="B104" s="92"/>
      <c r="C104" s="93"/>
      <c r="D104" s="94"/>
      <c r="E104" s="93"/>
      <c r="F104" s="93"/>
      <c r="G104" s="95"/>
      <c r="H104" s="95"/>
      <c r="I104" s="95"/>
      <c r="W104" s="63"/>
      <c r="X104" s="63"/>
    </row>
    <row r="105" spans="1:24" x14ac:dyDescent="0.25">
      <c r="A105" s="93"/>
      <c r="B105" s="92"/>
      <c r="C105" s="93"/>
      <c r="D105" s="94"/>
      <c r="E105" s="93"/>
      <c r="F105" s="93"/>
      <c r="G105" s="95"/>
      <c r="H105" s="95"/>
      <c r="I105" s="95"/>
    </row>
    <row r="106" spans="1:24" x14ac:dyDescent="0.25">
      <c r="A106" s="93"/>
      <c r="B106" s="92"/>
      <c r="C106" s="96"/>
      <c r="D106" s="94"/>
      <c r="E106" s="93"/>
      <c r="F106" s="93"/>
      <c r="G106" s="95"/>
      <c r="H106" s="95"/>
      <c r="I106" s="95"/>
    </row>
    <row r="107" spans="1:24" x14ac:dyDescent="0.25">
      <c r="A107" s="93"/>
      <c r="B107" s="92"/>
      <c r="C107" s="93"/>
      <c r="D107" s="94"/>
      <c r="E107" s="93"/>
      <c r="F107" s="93"/>
      <c r="G107" s="95"/>
      <c r="H107" s="95"/>
      <c r="I107" s="95"/>
    </row>
    <row r="108" spans="1:24" x14ac:dyDescent="0.25">
      <c r="A108" s="93"/>
      <c r="B108" s="92"/>
      <c r="C108" s="93"/>
      <c r="D108" s="94"/>
      <c r="E108" s="95"/>
      <c r="F108" s="95"/>
      <c r="G108" s="95"/>
      <c r="H108" s="95"/>
      <c r="I108" s="95"/>
    </row>
    <row r="109" spans="1:24" x14ac:dyDescent="0.25">
      <c r="A109" s="93"/>
      <c r="B109" s="92"/>
      <c r="C109" s="477"/>
      <c r="D109" s="477"/>
      <c r="E109" s="95"/>
      <c r="F109" s="95"/>
      <c r="G109" s="95"/>
      <c r="H109" s="95"/>
      <c r="I109" s="95"/>
    </row>
    <row r="110" spans="1:24" x14ac:dyDescent="0.25">
      <c r="A110" s="93"/>
      <c r="B110" s="92"/>
      <c r="C110" s="477"/>
      <c r="D110" s="477"/>
      <c r="E110" s="95"/>
      <c r="F110" s="95"/>
      <c r="G110" s="95"/>
      <c r="H110" s="95"/>
      <c r="I110" s="95"/>
    </row>
    <row r="111" spans="1:24" x14ac:dyDescent="0.25">
      <c r="A111" s="93"/>
      <c r="B111" s="92"/>
      <c r="C111" s="477"/>
      <c r="D111" s="477"/>
      <c r="E111" s="95"/>
      <c r="F111" s="95"/>
      <c r="G111" s="95"/>
      <c r="H111" s="95"/>
      <c r="I111" s="95"/>
    </row>
    <row r="112" spans="1:24" x14ac:dyDescent="0.25">
      <c r="A112" s="93"/>
      <c r="B112" s="92"/>
      <c r="C112" s="477"/>
      <c r="D112" s="477"/>
      <c r="E112" s="95"/>
      <c r="F112" s="95"/>
      <c r="G112" s="95"/>
      <c r="H112" s="95"/>
      <c r="I112" s="95"/>
    </row>
    <row r="113" spans="1:9" x14ac:dyDescent="0.25">
      <c r="A113" s="93"/>
      <c r="B113" s="92"/>
      <c r="C113" s="477"/>
      <c r="D113" s="477"/>
      <c r="E113" s="95"/>
      <c r="F113" s="95"/>
      <c r="G113" s="95"/>
      <c r="H113" s="95"/>
      <c r="I113" s="95"/>
    </row>
    <row r="114" spans="1:9" x14ac:dyDescent="0.25">
      <c r="A114" s="93"/>
      <c r="B114" s="92"/>
      <c r="C114" s="477"/>
      <c r="D114" s="477"/>
      <c r="E114" s="95"/>
      <c r="F114" s="95"/>
      <c r="G114" s="95"/>
      <c r="H114" s="95"/>
      <c r="I114" s="95"/>
    </row>
    <row r="115" spans="1:9" x14ac:dyDescent="0.25">
      <c r="A115" s="93"/>
      <c r="B115" s="92"/>
      <c r="C115" s="477"/>
      <c r="D115" s="477"/>
      <c r="E115" s="95"/>
      <c r="F115" s="95"/>
      <c r="G115" s="95"/>
      <c r="H115" s="95"/>
      <c r="I115" s="95"/>
    </row>
    <row r="116" spans="1:9" x14ac:dyDescent="0.25">
      <c r="A116" s="93"/>
      <c r="B116" s="92"/>
      <c r="C116" s="477"/>
      <c r="D116" s="477"/>
      <c r="E116" s="95"/>
      <c r="F116" s="95"/>
      <c r="G116" s="95"/>
      <c r="H116" s="95"/>
      <c r="I116" s="95"/>
    </row>
    <row r="117" spans="1:9" x14ac:dyDescent="0.25">
      <c r="A117" s="93"/>
      <c r="B117" s="92"/>
      <c r="C117" s="93"/>
      <c r="D117" s="94"/>
      <c r="E117" s="95"/>
      <c r="F117" s="95"/>
      <c r="G117" s="95"/>
      <c r="H117" s="95"/>
      <c r="I117" s="95"/>
    </row>
    <row r="118" spans="1:9" x14ac:dyDescent="0.25">
      <c r="A118" s="93"/>
      <c r="B118" s="92"/>
      <c r="C118" s="93"/>
      <c r="D118" s="94"/>
      <c r="E118" s="93"/>
      <c r="F118" s="93"/>
      <c r="G118" s="95"/>
      <c r="H118" s="95"/>
      <c r="I118" s="95"/>
    </row>
    <row r="119" spans="1:9" x14ac:dyDescent="0.25">
      <c r="A119" s="93"/>
      <c r="B119" s="92"/>
      <c r="C119" s="93"/>
      <c r="D119" s="94"/>
      <c r="E119" s="93"/>
      <c r="F119" s="93"/>
      <c r="G119" s="95"/>
      <c r="H119" s="95"/>
      <c r="I119" s="95"/>
    </row>
    <row r="120" spans="1:9" x14ac:dyDescent="0.25">
      <c r="A120" s="93"/>
      <c r="B120" s="92"/>
      <c r="C120" s="93"/>
      <c r="D120" s="94"/>
      <c r="E120" s="93"/>
      <c r="F120" s="93"/>
      <c r="G120" s="95"/>
      <c r="H120" s="95"/>
      <c r="I120" s="95"/>
    </row>
    <row r="121" spans="1:9" x14ac:dyDescent="0.25">
      <c r="A121" s="93"/>
      <c r="B121" s="92"/>
      <c r="C121" s="93"/>
      <c r="D121" s="94"/>
      <c r="E121" s="93"/>
      <c r="F121" s="93"/>
      <c r="G121" s="95"/>
      <c r="H121" s="95"/>
      <c r="I121" s="95"/>
    </row>
  </sheetData>
  <mergeCells count="47">
    <mergeCell ref="C114:D114"/>
    <mergeCell ref="C115:D115"/>
    <mergeCell ref="C116:D116"/>
    <mergeCell ref="B101:C101"/>
    <mergeCell ref="C109:D109"/>
    <mergeCell ref="C110:D110"/>
    <mergeCell ref="C111:D111"/>
    <mergeCell ref="C112:D112"/>
    <mergeCell ref="C113:D113"/>
    <mergeCell ref="B100:C100"/>
    <mergeCell ref="A55:A67"/>
    <mergeCell ref="B55:C55"/>
    <mergeCell ref="B68:C68"/>
    <mergeCell ref="A69:A75"/>
    <mergeCell ref="B69:C69"/>
    <mergeCell ref="B76:C76"/>
    <mergeCell ref="A77:A85"/>
    <mergeCell ref="B77:C77"/>
    <mergeCell ref="B86:C86"/>
    <mergeCell ref="A87:A99"/>
    <mergeCell ref="B87:C87"/>
    <mergeCell ref="B54:C54"/>
    <mergeCell ref="A4:A20"/>
    <mergeCell ref="B4:C4"/>
    <mergeCell ref="B20:C20"/>
    <mergeCell ref="A21:A28"/>
    <mergeCell ref="B21:C21"/>
    <mergeCell ref="B28:C28"/>
    <mergeCell ref="A29:A38"/>
    <mergeCell ref="B29:C29"/>
    <mergeCell ref="B38:C38"/>
    <mergeCell ref="A39:A53"/>
    <mergeCell ref="B39:C39"/>
    <mergeCell ref="S1:T2"/>
    <mergeCell ref="U1:V2"/>
    <mergeCell ref="E2:F2"/>
    <mergeCell ref="G2:H2"/>
    <mergeCell ref="I2:J2"/>
    <mergeCell ref="K2:L2"/>
    <mergeCell ref="M2:N2"/>
    <mergeCell ref="O2:P2"/>
    <mergeCell ref="Q1:R2"/>
    <mergeCell ref="A1:A3"/>
    <mergeCell ref="B1:C3"/>
    <mergeCell ref="D1:D3"/>
    <mergeCell ref="E1:H1"/>
    <mergeCell ref="I1:P1"/>
  </mergeCells>
  <printOptions horizontalCentered="1"/>
  <pageMargins left="0.23622047244094491" right="0.23622047244094491" top="0.59055118110236227" bottom="0.59055118110236227" header="0.31496062992125984" footer="0.31496062992125984"/>
  <pageSetup paperSize="9" scale="75" fitToHeight="3" orientation="landscape" horizontalDpi="4294967293" verticalDpi="1200" r:id="rId1"/>
  <rowBreaks count="1" manualBreakCount="1">
    <brk id="54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N228"/>
  <sheetViews>
    <sheetView view="pageBreakPreview" zoomScale="115" zoomScaleNormal="82" zoomScaleSheetLayoutView="115" workbookViewId="0">
      <pane xSplit="2" ySplit="13" topLeftCell="C224" activePane="bottomRight" state="frozen"/>
      <selection pane="topRight" activeCell="C1" sqref="C1"/>
      <selection pane="bottomLeft" activeCell="A14" sqref="A14"/>
      <selection pane="bottomRight" activeCell="AL224" sqref="AL224"/>
    </sheetView>
  </sheetViews>
  <sheetFormatPr defaultColWidth="9.140625" defaultRowHeight="15" x14ac:dyDescent="0.25"/>
  <cols>
    <col min="1" max="1" width="3.140625" style="99" customWidth="1"/>
    <col min="2" max="2" width="19.140625" style="99" customWidth="1"/>
    <col min="3" max="3" width="7.140625" style="99" customWidth="1"/>
    <col min="4" max="4" width="9.28515625" style="99" customWidth="1"/>
    <col min="5" max="5" width="9.85546875" style="99" customWidth="1"/>
    <col min="6" max="6" width="7.140625" style="99" customWidth="1"/>
    <col min="7" max="7" width="6.42578125" style="99" customWidth="1"/>
    <col min="8" max="8" width="6.85546875" style="99" customWidth="1"/>
    <col min="9" max="9" width="7.7109375" style="99" customWidth="1"/>
    <col min="10" max="10" width="8.140625" style="99" customWidth="1"/>
    <col min="11" max="11" width="6.5703125" style="99" customWidth="1"/>
    <col min="12" max="12" width="7.28515625" style="99" customWidth="1"/>
    <col min="13" max="13" width="7" style="99" customWidth="1"/>
    <col min="14" max="14" width="6" style="99" customWidth="1"/>
    <col min="15" max="15" width="7.5703125" style="99" customWidth="1"/>
    <col min="16" max="16" width="8.28515625" style="99" customWidth="1"/>
    <col min="17" max="17" width="8.140625" style="99" customWidth="1"/>
    <col min="18" max="18" width="8.42578125" style="99" customWidth="1"/>
    <col min="19" max="19" width="10.140625" style="99" customWidth="1"/>
    <col min="20" max="21" width="6.140625" style="99" customWidth="1"/>
    <col min="22" max="22" width="5.85546875" style="99" customWidth="1"/>
    <col min="23" max="24" width="6" style="99" customWidth="1"/>
    <col min="25" max="25" width="5.140625" style="99" customWidth="1"/>
    <col min="26" max="26" width="7.28515625" style="99" customWidth="1"/>
    <col min="27" max="27" width="8.85546875" style="99" customWidth="1"/>
    <col min="28" max="28" width="6.140625" style="99" customWidth="1"/>
    <col min="29" max="29" width="6.42578125" style="99" customWidth="1"/>
    <col min="30" max="30" width="7.85546875" style="99" customWidth="1"/>
    <col min="31" max="31" width="6.42578125" style="99" customWidth="1"/>
    <col min="32" max="32" width="8.85546875" style="99" customWidth="1"/>
    <col min="33" max="33" width="9.140625" style="99" customWidth="1"/>
    <col min="34" max="34" width="8.5703125" style="99" customWidth="1"/>
    <col min="35" max="35" width="9" style="99" customWidth="1"/>
    <col min="36" max="36" width="14.85546875" style="99" customWidth="1"/>
    <col min="37" max="37" width="9.140625" style="99"/>
    <col min="38" max="38" width="11.5703125" style="99" bestFit="1" customWidth="1"/>
    <col min="39" max="16384" width="9.140625" style="99"/>
  </cols>
  <sheetData>
    <row r="1" spans="1:39" x14ac:dyDescent="0.25">
      <c r="A1" s="480" t="s">
        <v>502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480"/>
      <c r="AC1" s="480"/>
      <c r="AD1" s="480"/>
      <c r="AE1" s="480"/>
      <c r="AF1" s="480"/>
      <c r="AG1" s="480"/>
      <c r="AH1" s="480"/>
      <c r="AI1" s="480"/>
      <c r="AJ1" s="480"/>
    </row>
    <row r="2" spans="1:39" x14ac:dyDescent="0.25">
      <c r="A2" s="480" t="s">
        <v>501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</row>
    <row r="3" spans="1:39" x14ac:dyDescent="0.25">
      <c r="A3" s="480" t="s">
        <v>500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480"/>
      <c r="AA3" s="480"/>
      <c r="AB3" s="480"/>
      <c r="AC3" s="480"/>
      <c r="AD3" s="480"/>
      <c r="AE3" s="480"/>
      <c r="AF3" s="480"/>
      <c r="AG3" s="480"/>
      <c r="AH3" s="480"/>
      <c r="AI3" s="480"/>
      <c r="AJ3" s="480"/>
    </row>
    <row r="6" spans="1:39" x14ac:dyDescent="0.25">
      <c r="A6" s="481" t="s">
        <v>499</v>
      </c>
      <c r="B6" s="482" t="s">
        <v>498</v>
      </c>
      <c r="C6" s="482" t="s">
        <v>497</v>
      </c>
      <c r="D6" s="482" t="s">
        <v>496</v>
      </c>
      <c r="E6" s="482" t="s">
        <v>495</v>
      </c>
      <c r="F6" s="483" t="s">
        <v>494</v>
      </c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483"/>
      <c r="T6" s="483"/>
      <c r="U6" s="483"/>
      <c r="V6" s="483"/>
      <c r="W6" s="483"/>
      <c r="X6" s="483"/>
      <c r="Y6" s="483"/>
      <c r="Z6" s="483"/>
      <c r="AA6" s="483"/>
      <c r="AB6" s="483"/>
      <c r="AC6" s="483"/>
      <c r="AD6" s="483"/>
      <c r="AE6" s="483"/>
      <c r="AF6" s="484" t="s">
        <v>493</v>
      </c>
      <c r="AG6" s="484"/>
      <c r="AH6" s="484"/>
      <c r="AI6" s="484"/>
      <c r="AJ6" s="482" t="s">
        <v>492</v>
      </c>
      <c r="AK6" s="485" t="s">
        <v>491</v>
      </c>
      <c r="AL6" s="482" t="s">
        <v>490</v>
      </c>
      <c r="AM6" s="485" t="s">
        <v>489</v>
      </c>
    </row>
    <row r="7" spans="1:39" ht="30" customHeight="1" x14ac:dyDescent="0.25">
      <c r="A7" s="481"/>
      <c r="B7" s="482"/>
      <c r="C7" s="482"/>
      <c r="D7" s="482"/>
      <c r="E7" s="482"/>
      <c r="F7" s="481" t="s">
        <v>488</v>
      </c>
      <c r="G7" s="481"/>
      <c r="H7" s="481"/>
      <c r="I7" s="481"/>
      <c r="J7" s="481"/>
      <c r="K7" s="481" t="s">
        <v>487</v>
      </c>
      <c r="L7" s="481"/>
      <c r="M7" s="481"/>
      <c r="N7" s="481"/>
      <c r="O7" s="481"/>
      <c r="P7" s="481" t="s">
        <v>486</v>
      </c>
      <c r="Q7" s="481"/>
      <c r="R7" s="481"/>
      <c r="S7" s="481"/>
      <c r="T7" s="481" t="s">
        <v>485</v>
      </c>
      <c r="U7" s="481"/>
      <c r="V7" s="481"/>
      <c r="W7" s="481"/>
      <c r="X7" s="481" t="s">
        <v>484</v>
      </c>
      <c r="Y7" s="481"/>
      <c r="Z7" s="481"/>
      <c r="AA7" s="481"/>
      <c r="AB7" s="481" t="s">
        <v>483</v>
      </c>
      <c r="AC7" s="481"/>
      <c r="AD7" s="481"/>
      <c r="AE7" s="481"/>
      <c r="AF7" s="484"/>
      <c r="AG7" s="484"/>
      <c r="AH7" s="484"/>
      <c r="AI7" s="484"/>
      <c r="AJ7" s="482"/>
      <c r="AK7" s="485"/>
      <c r="AL7" s="482"/>
      <c r="AM7" s="485"/>
    </row>
    <row r="8" spans="1:39" x14ac:dyDescent="0.25">
      <c r="A8" s="481"/>
      <c r="B8" s="482"/>
      <c r="C8" s="482"/>
      <c r="D8" s="482"/>
      <c r="E8" s="482"/>
      <c r="F8" s="482" t="s">
        <v>482</v>
      </c>
      <c r="G8" s="481" t="s">
        <v>481</v>
      </c>
      <c r="H8" s="481"/>
      <c r="I8" s="481"/>
      <c r="J8" s="481"/>
      <c r="K8" s="482" t="s">
        <v>482</v>
      </c>
      <c r="L8" s="481" t="s">
        <v>481</v>
      </c>
      <c r="M8" s="481"/>
      <c r="N8" s="481"/>
      <c r="O8" s="481"/>
      <c r="P8" s="482" t="s">
        <v>482</v>
      </c>
      <c r="Q8" s="481" t="s">
        <v>481</v>
      </c>
      <c r="R8" s="481"/>
      <c r="S8" s="481"/>
      <c r="T8" s="482" t="s">
        <v>482</v>
      </c>
      <c r="U8" s="481" t="s">
        <v>481</v>
      </c>
      <c r="V8" s="481"/>
      <c r="W8" s="481"/>
      <c r="X8" s="482" t="s">
        <v>482</v>
      </c>
      <c r="Y8" s="481" t="s">
        <v>481</v>
      </c>
      <c r="Z8" s="481"/>
      <c r="AA8" s="481"/>
      <c r="AB8" s="482" t="s">
        <v>482</v>
      </c>
      <c r="AC8" s="481" t="s">
        <v>481</v>
      </c>
      <c r="AD8" s="481"/>
      <c r="AE8" s="481"/>
      <c r="AF8" s="482" t="s">
        <v>482</v>
      </c>
      <c r="AG8" s="481" t="s">
        <v>481</v>
      </c>
      <c r="AH8" s="481"/>
      <c r="AI8" s="481"/>
      <c r="AJ8" s="482"/>
      <c r="AK8" s="485"/>
      <c r="AL8" s="482"/>
      <c r="AM8" s="485"/>
    </row>
    <row r="9" spans="1:39" x14ac:dyDescent="0.25">
      <c r="A9" s="481"/>
      <c r="B9" s="482"/>
      <c r="C9" s="482"/>
      <c r="D9" s="482"/>
      <c r="E9" s="482"/>
      <c r="F9" s="482"/>
      <c r="G9" s="482" t="s">
        <v>475</v>
      </c>
      <c r="H9" s="482" t="s">
        <v>479</v>
      </c>
      <c r="I9" s="482" t="s">
        <v>478</v>
      </c>
      <c r="J9" s="482" t="s">
        <v>480</v>
      </c>
      <c r="K9" s="482"/>
      <c r="L9" s="482" t="s">
        <v>475</v>
      </c>
      <c r="M9" s="482" t="s">
        <v>479</v>
      </c>
      <c r="N9" s="482" t="s">
        <v>478</v>
      </c>
      <c r="O9" s="482" t="s">
        <v>476</v>
      </c>
      <c r="P9" s="482"/>
      <c r="Q9" s="482" t="s">
        <v>475</v>
      </c>
      <c r="R9" s="482" t="s">
        <v>474</v>
      </c>
      <c r="S9" s="482" t="s">
        <v>477</v>
      </c>
      <c r="T9" s="482"/>
      <c r="U9" s="482" t="s">
        <v>475</v>
      </c>
      <c r="V9" s="482" t="s">
        <v>474</v>
      </c>
      <c r="W9" s="482" t="s">
        <v>476</v>
      </c>
      <c r="X9" s="482"/>
      <c r="Y9" s="482" t="s">
        <v>475</v>
      </c>
      <c r="Z9" s="482" t="s">
        <v>474</v>
      </c>
      <c r="AA9" s="482" t="s">
        <v>473</v>
      </c>
      <c r="AB9" s="482"/>
      <c r="AC9" s="482" t="s">
        <v>475</v>
      </c>
      <c r="AD9" s="482" t="s">
        <v>474</v>
      </c>
      <c r="AE9" s="482" t="s">
        <v>473</v>
      </c>
      <c r="AF9" s="482"/>
      <c r="AG9" s="482" t="s">
        <v>475</v>
      </c>
      <c r="AH9" s="482" t="s">
        <v>474</v>
      </c>
      <c r="AI9" s="482" t="s">
        <v>473</v>
      </c>
      <c r="AJ9" s="482"/>
      <c r="AK9" s="485"/>
      <c r="AL9" s="482"/>
      <c r="AM9" s="485"/>
    </row>
    <row r="10" spans="1:39" x14ac:dyDescent="0.25">
      <c r="A10" s="481"/>
      <c r="B10" s="482"/>
      <c r="C10" s="482"/>
      <c r="D10" s="482"/>
      <c r="E10" s="482"/>
      <c r="F10" s="482"/>
      <c r="G10" s="482"/>
      <c r="H10" s="482"/>
      <c r="I10" s="482"/>
      <c r="J10" s="482"/>
      <c r="K10" s="482"/>
      <c r="L10" s="482"/>
      <c r="M10" s="482"/>
      <c r="N10" s="482"/>
      <c r="O10" s="482"/>
      <c r="P10" s="482"/>
      <c r="Q10" s="482"/>
      <c r="R10" s="482"/>
      <c r="S10" s="482"/>
      <c r="T10" s="482"/>
      <c r="U10" s="482"/>
      <c r="V10" s="482"/>
      <c r="W10" s="482"/>
      <c r="X10" s="482"/>
      <c r="Y10" s="482"/>
      <c r="Z10" s="482"/>
      <c r="AA10" s="482"/>
      <c r="AB10" s="482"/>
      <c r="AC10" s="482"/>
      <c r="AD10" s="482"/>
      <c r="AE10" s="482"/>
      <c r="AF10" s="482"/>
      <c r="AG10" s="482"/>
      <c r="AH10" s="482"/>
      <c r="AI10" s="482"/>
      <c r="AJ10" s="482"/>
      <c r="AK10" s="485"/>
      <c r="AL10" s="482"/>
      <c r="AM10" s="485"/>
    </row>
    <row r="11" spans="1:39" ht="15" customHeight="1" x14ac:dyDescent="0.25">
      <c r="A11" s="481"/>
      <c r="B11" s="482"/>
      <c r="C11" s="482"/>
      <c r="D11" s="482"/>
      <c r="E11" s="482"/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82"/>
      <c r="V11" s="482"/>
      <c r="W11" s="482"/>
      <c r="X11" s="482"/>
      <c r="Y11" s="482"/>
      <c r="Z11" s="482"/>
      <c r="AA11" s="482"/>
      <c r="AB11" s="482"/>
      <c r="AC11" s="482"/>
      <c r="AD11" s="482"/>
      <c r="AE11" s="482"/>
      <c r="AF11" s="482"/>
      <c r="AG11" s="482"/>
      <c r="AH11" s="482"/>
      <c r="AI11" s="482"/>
      <c r="AJ11" s="482"/>
      <c r="AK11" s="485"/>
      <c r="AL11" s="482"/>
      <c r="AM11" s="485"/>
    </row>
    <row r="12" spans="1:39" ht="15" customHeight="1" x14ac:dyDescent="0.25">
      <c r="A12" s="481"/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2"/>
      <c r="R12" s="482"/>
      <c r="S12" s="482"/>
      <c r="T12" s="482"/>
      <c r="U12" s="482"/>
      <c r="V12" s="482"/>
      <c r="W12" s="482"/>
      <c r="X12" s="482"/>
      <c r="Y12" s="482"/>
      <c r="Z12" s="482"/>
      <c r="AA12" s="482"/>
      <c r="AB12" s="482"/>
      <c r="AC12" s="482"/>
      <c r="AD12" s="482"/>
      <c r="AE12" s="482"/>
      <c r="AF12" s="482"/>
      <c r="AG12" s="482"/>
      <c r="AH12" s="482"/>
      <c r="AI12" s="482"/>
      <c r="AJ12" s="482"/>
      <c r="AK12" s="485"/>
      <c r="AL12" s="482"/>
      <c r="AM12" s="485"/>
    </row>
    <row r="13" spans="1:39" ht="15" customHeight="1" x14ac:dyDescent="0.25">
      <c r="A13" s="213">
        <v>1</v>
      </c>
      <c r="B13" s="213">
        <v>2</v>
      </c>
      <c r="C13" s="213">
        <v>3</v>
      </c>
      <c r="D13" s="213">
        <v>4</v>
      </c>
      <c r="E13" s="213">
        <v>5</v>
      </c>
      <c r="F13" s="213">
        <v>6</v>
      </c>
      <c r="G13" s="213">
        <v>7</v>
      </c>
      <c r="H13" s="213">
        <v>8</v>
      </c>
      <c r="I13" s="213">
        <v>9</v>
      </c>
      <c r="J13" s="213">
        <v>10</v>
      </c>
      <c r="K13" s="213">
        <v>11</v>
      </c>
      <c r="L13" s="213">
        <v>12</v>
      </c>
      <c r="M13" s="213">
        <v>13</v>
      </c>
      <c r="N13" s="213">
        <v>14</v>
      </c>
      <c r="O13" s="213">
        <v>15</v>
      </c>
      <c r="P13" s="213">
        <v>16</v>
      </c>
      <c r="Q13" s="213">
        <v>17</v>
      </c>
      <c r="R13" s="213">
        <v>18</v>
      </c>
      <c r="S13" s="213">
        <v>19</v>
      </c>
      <c r="T13" s="213">
        <v>20</v>
      </c>
      <c r="U13" s="213">
        <v>21</v>
      </c>
      <c r="V13" s="213">
        <v>22</v>
      </c>
      <c r="W13" s="213">
        <v>23</v>
      </c>
      <c r="X13" s="213">
        <v>24</v>
      </c>
      <c r="Y13" s="213">
        <v>25</v>
      </c>
      <c r="Z13" s="213">
        <v>26</v>
      </c>
      <c r="AA13" s="213">
        <v>27</v>
      </c>
      <c r="AB13" s="213">
        <v>28</v>
      </c>
      <c r="AC13" s="213">
        <v>29</v>
      </c>
      <c r="AD13" s="213">
        <v>30</v>
      </c>
      <c r="AE13" s="213">
        <v>31</v>
      </c>
      <c r="AF13" s="213">
        <v>32</v>
      </c>
      <c r="AG13" s="213">
        <v>33</v>
      </c>
      <c r="AH13" s="213">
        <v>34</v>
      </c>
      <c r="AI13" s="213">
        <v>35</v>
      </c>
      <c r="AJ13" s="213">
        <v>36</v>
      </c>
      <c r="AK13" s="213">
        <v>37</v>
      </c>
      <c r="AL13" s="213">
        <v>38</v>
      </c>
      <c r="AM13" s="213">
        <v>39</v>
      </c>
    </row>
    <row r="14" spans="1:39" s="212" customFormat="1" ht="12.75" x14ac:dyDescent="0.2">
      <c r="A14" s="165">
        <v>1</v>
      </c>
      <c r="B14" s="104" t="s">
        <v>472</v>
      </c>
      <c r="C14" s="104">
        <v>5</v>
      </c>
      <c r="D14" s="211">
        <v>3571</v>
      </c>
      <c r="E14" s="211">
        <v>873</v>
      </c>
      <c r="F14" s="211">
        <v>145</v>
      </c>
      <c r="G14" s="211">
        <v>128</v>
      </c>
      <c r="H14" s="211">
        <v>128</v>
      </c>
      <c r="I14" s="211">
        <v>768</v>
      </c>
      <c r="J14" s="211">
        <v>2652</v>
      </c>
      <c r="K14" s="211"/>
      <c r="L14" s="211"/>
      <c r="M14" s="211"/>
      <c r="N14" s="211"/>
      <c r="O14" s="211"/>
      <c r="P14" s="104"/>
      <c r="Q14" s="211"/>
      <c r="R14" s="211"/>
      <c r="S14" s="211"/>
      <c r="T14" s="104"/>
      <c r="U14" s="104"/>
      <c r="V14" s="104"/>
      <c r="W14" s="104"/>
      <c r="X14" s="104">
        <v>1</v>
      </c>
      <c r="Y14" s="104">
        <v>1</v>
      </c>
      <c r="Z14" s="104">
        <v>12</v>
      </c>
      <c r="AA14" s="104">
        <v>57</v>
      </c>
      <c r="AB14" s="104"/>
      <c r="AC14" s="104"/>
      <c r="AD14" s="104"/>
      <c r="AE14" s="104"/>
      <c r="AF14" s="104"/>
      <c r="AG14" s="104"/>
      <c r="AH14" s="104"/>
      <c r="AI14" s="211"/>
      <c r="AJ14" s="211">
        <v>3199</v>
      </c>
      <c r="AK14" s="210">
        <v>89.58</v>
      </c>
      <c r="AL14" s="211">
        <v>780</v>
      </c>
      <c r="AM14" s="210">
        <v>89.34</v>
      </c>
    </row>
    <row r="15" spans="1:39" s="212" customFormat="1" ht="12.75" x14ac:dyDescent="0.2">
      <c r="A15" s="165">
        <v>2</v>
      </c>
      <c r="B15" s="104" t="s">
        <v>471</v>
      </c>
      <c r="C15" s="104">
        <v>4</v>
      </c>
      <c r="D15" s="211">
        <v>3606</v>
      </c>
      <c r="E15" s="211">
        <v>894</v>
      </c>
      <c r="F15" s="211">
        <v>173</v>
      </c>
      <c r="G15" s="211">
        <v>143</v>
      </c>
      <c r="H15" s="211">
        <v>143</v>
      </c>
      <c r="I15" s="211">
        <v>675</v>
      </c>
      <c r="J15" s="211">
        <v>2709</v>
      </c>
      <c r="K15" s="211"/>
      <c r="L15" s="211"/>
      <c r="M15" s="211"/>
      <c r="N15" s="211"/>
      <c r="O15" s="211"/>
      <c r="P15" s="104">
        <v>40</v>
      </c>
      <c r="Q15" s="211">
        <v>40</v>
      </c>
      <c r="R15" s="211">
        <v>50</v>
      </c>
      <c r="S15" s="211">
        <v>191</v>
      </c>
      <c r="T15" s="104"/>
      <c r="U15" s="104"/>
      <c r="V15" s="104"/>
      <c r="W15" s="104"/>
      <c r="X15" s="104">
        <v>1</v>
      </c>
      <c r="Y15" s="104">
        <v>1</v>
      </c>
      <c r="Z15" s="104">
        <v>17</v>
      </c>
      <c r="AA15" s="104">
        <v>92</v>
      </c>
      <c r="AB15" s="104"/>
      <c r="AC15" s="104"/>
      <c r="AD15" s="104"/>
      <c r="AE15" s="104"/>
      <c r="AF15" s="104"/>
      <c r="AG15" s="104"/>
      <c r="AH15" s="104"/>
      <c r="AI15" s="211"/>
      <c r="AJ15" s="211">
        <v>2992</v>
      </c>
      <c r="AK15" s="210">
        <v>82.97</v>
      </c>
      <c r="AL15" s="211">
        <v>742</v>
      </c>
      <c r="AM15" s="210">
        <v>82.99</v>
      </c>
    </row>
    <row r="16" spans="1:39" s="212" customFormat="1" ht="12.75" x14ac:dyDescent="0.2">
      <c r="A16" s="165">
        <v>3</v>
      </c>
      <c r="B16" s="104" t="s">
        <v>470</v>
      </c>
      <c r="C16" s="104">
        <v>3</v>
      </c>
      <c r="D16" s="211">
        <v>1406</v>
      </c>
      <c r="E16" s="211">
        <v>366</v>
      </c>
      <c r="F16" s="211">
        <v>114</v>
      </c>
      <c r="G16" s="211">
        <v>87</v>
      </c>
      <c r="H16" s="211">
        <v>87</v>
      </c>
      <c r="I16" s="211">
        <v>278</v>
      </c>
      <c r="J16" s="211">
        <v>1062</v>
      </c>
      <c r="K16" s="211"/>
      <c r="L16" s="211"/>
      <c r="M16" s="211"/>
      <c r="N16" s="211"/>
      <c r="O16" s="211"/>
      <c r="P16" s="211">
        <v>8</v>
      </c>
      <c r="Q16" s="211">
        <v>8</v>
      </c>
      <c r="R16" s="211">
        <v>10</v>
      </c>
      <c r="S16" s="211">
        <v>41</v>
      </c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211"/>
      <c r="AJ16" s="211">
        <v>1103</v>
      </c>
      <c r="AK16" s="210">
        <v>78.44</v>
      </c>
      <c r="AL16" s="211">
        <v>286</v>
      </c>
      <c r="AM16" s="210">
        <v>78.14</v>
      </c>
    </row>
    <row r="17" spans="1:40" x14ac:dyDescent="0.25">
      <c r="A17" s="104">
        <v>4</v>
      </c>
      <c r="B17" s="104" t="s">
        <v>469</v>
      </c>
      <c r="C17" s="104">
        <v>3</v>
      </c>
      <c r="D17" s="211">
        <v>1131</v>
      </c>
      <c r="E17" s="211">
        <v>315</v>
      </c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>
        <v>15</v>
      </c>
      <c r="AG17" s="104">
        <v>15</v>
      </c>
      <c r="AH17" s="104">
        <v>315</v>
      </c>
      <c r="AI17" s="211">
        <v>1131</v>
      </c>
      <c r="AJ17" s="211">
        <v>1131</v>
      </c>
      <c r="AK17" s="210">
        <v>100</v>
      </c>
      <c r="AL17" s="211">
        <v>351</v>
      </c>
      <c r="AM17" s="210">
        <v>100</v>
      </c>
    </row>
    <row r="18" spans="1:40" x14ac:dyDescent="0.25">
      <c r="A18" s="120">
        <v>5</v>
      </c>
      <c r="B18" s="120" t="s">
        <v>468</v>
      </c>
      <c r="C18" s="120">
        <v>3</v>
      </c>
      <c r="D18" s="149">
        <v>811</v>
      </c>
      <c r="E18" s="149">
        <v>237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>
        <v>13</v>
      </c>
      <c r="AG18" s="120">
        <v>13</v>
      </c>
      <c r="AH18" s="120">
        <v>237</v>
      </c>
      <c r="AI18" s="149">
        <v>811</v>
      </c>
      <c r="AJ18" s="149">
        <v>811</v>
      </c>
      <c r="AK18" s="108">
        <v>100</v>
      </c>
      <c r="AL18" s="149">
        <v>237</v>
      </c>
      <c r="AM18" s="108">
        <v>100</v>
      </c>
    </row>
    <row r="19" spans="1:40" x14ac:dyDescent="0.25">
      <c r="A19" s="107">
        <v>1</v>
      </c>
      <c r="B19" s="107" t="s">
        <v>467</v>
      </c>
      <c r="C19" s="107">
        <f t="shared" ref="C19:AJ19" si="0">SUM(C14:C18)</f>
        <v>18</v>
      </c>
      <c r="D19" s="107">
        <f t="shared" si="0"/>
        <v>10525</v>
      </c>
      <c r="E19" s="107">
        <f t="shared" si="0"/>
        <v>2685</v>
      </c>
      <c r="F19" s="107">
        <f t="shared" si="0"/>
        <v>432</v>
      </c>
      <c r="G19" s="107">
        <f t="shared" si="0"/>
        <v>358</v>
      </c>
      <c r="H19" s="107">
        <f t="shared" si="0"/>
        <v>358</v>
      </c>
      <c r="I19" s="107">
        <f t="shared" si="0"/>
        <v>1721</v>
      </c>
      <c r="J19" s="107">
        <f t="shared" si="0"/>
        <v>6423</v>
      </c>
      <c r="K19" s="107">
        <f t="shared" si="0"/>
        <v>0</v>
      </c>
      <c r="L19" s="107">
        <f t="shared" si="0"/>
        <v>0</v>
      </c>
      <c r="M19" s="107">
        <f t="shared" si="0"/>
        <v>0</v>
      </c>
      <c r="N19" s="107">
        <f t="shared" si="0"/>
        <v>0</v>
      </c>
      <c r="O19" s="107">
        <f t="shared" si="0"/>
        <v>0</v>
      </c>
      <c r="P19" s="107">
        <f t="shared" si="0"/>
        <v>48</v>
      </c>
      <c r="Q19" s="107">
        <f t="shared" si="0"/>
        <v>48</v>
      </c>
      <c r="R19" s="107">
        <f t="shared" si="0"/>
        <v>60</v>
      </c>
      <c r="S19" s="107">
        <f t="shared" si="0"/>
        <v>232</v>
      </c>
      <c r="T19" s="107">
        <f t="shared" si="0"/>
        <v>0</v>
      </c>
      <c r="U19" s="107">
        <f t="shared" si="0"/>
        <v>0</v>
      </c>
      <c r="V19" s="107">
        <f t="shared" si="0"/>
        <v>0</v>
      </c>
      <c r="W19" s="107">
        <f t="shared" si="0"/>
        <v>0</v>
      </c>
      <c r="X19" s="107">
        <f t="shared" si="0"/>
        <v>2</v>
      </c>
      <c r="Y19" s="107">
        <f t="shared" si="0"/>
        <v>2</v>
      </c>
      <c r="Z19" s="107">
        <f t="shared" si="0"/>
        <v>29</v>
      </c>
      <c r="AA19" s="107">
        <f t="shared" si="0"/>
        <v>149</v>
      </c>
      <c r="AB19" s="107">
        <f t="shared" si="0"/>
        <v>0</v>
      </c>
      <c r="AC19" s="107">
        <f t="shared" si="0"/>
        <v>0</v>
      </c>
      <c r="AD19" s="107">
        <f t="shared" si="0"/>
        <v>0</v>
      </c>
      <c r="AE19" s="107">
        <f t="shared" si="0"/>
        <v>0</v>
      </c>
      <c r="AF19" s="107">
        <f t="shared" si="0"/>
        <v>28</v>
      </c>
      <c r="AG19" s="107">
        <f t="shared" si="0"/>
        <v>28</v>
      </c>
      <c r="AH19" s="107">
        <f t="shared" si="0"/>
        <v>552</v>
      </c>
      <c r="AI19" s="107">
        <f t="shared" si="0"/>
        <v>1942</v>
      </c>
      <c r="AJ19" s="107">
        <f t="shared" si="0"/>
        <v>9236</v>
      </c>
      <c r="AK19" s="106">
        <f>AJ19/D19*100</f>
        <v>87.75296912114014</v>
      </c>
      <c r="AL19" s="107">
        <f>SUM(AL14:AL18)</f>
        <v>2396</v>
      </c>
      <c r="AM19" s="106">
        <f>AL19/E19*100</f>
        <v>89.236499068901296</v>
      </c>
      <c r="AN19" s="99">
        <v>78.36</v>
      </c>
    </row>
    <row r="20" spans="1:40" x14ac:dyDescent="0.25">
      <c r="A20" s="158">
        <v>1</v>
      </c>
      <c r="B20" s="120" t="s">
        <v>466</v>
      </c>
      <c r="C20" s="120">
        <v>1</v>
      </c>
      <c r="D20" s="120">
        <v>3368</v>
      </c>
      <c r="E20" s="120">
        <v>850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12</v>
      </c>
      <c r="AG20" s="120">
        <v>12</v>
      </c>
      <c r="AH20" s="120">
        <v>850</v>
      </c>
      <c r="AI20" s="120">
        <v>3368</v>
      </c>
      <c r="AJ20" s="120">
        <v>3368</v>
      </c>
      <c r="AK20" s="202">
        <v>100</v>
      </c>
      <c r="AL20" s="120">
        <v>850</v>
      </c>
      <c r="AM20" s="202">
        <v>100</v>
      </c>
    </row>
    <row r="21" spans="1:40" x14ac:dyDescent="0.25">
      <c r="A21" s="158">
        <v>2</v>
      </c>
      <c r="B21" s="120" t="s">
        <v>465</v>
      </c>
      <c r="C21" s="120">
        <v>1</v>
      </c>
      <c r="D21" s="120">
        <v>2250</v>
      </c>
      <c r="E21" s="120">
        <v>520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29</v>
      </c>
      <c r="AG21" s="120">
        <v>29</v>
      </c>
      <c r="AH21" s="120">
        <v>520</v>
      </c>
      <c r="AI21" s="120">
        <v>2250</v>
      </c>
      <c r="AJ21" s="120">
        <v>2250</v>
      </c>
      <c r="AK21" s="202">
        <v>100</v>
      </c>
      <c r="AL21" s="120">
        <v>520</v>
      </c>
      <c r="AM21" s="202">
        <v>100</v>
      </c>
    </row>
    <row r="22" spans="1:40" x14ac:dyDescent="0.25">
      <c r="A22" s="158">
        <v>3</v>
      </c>
      <c r="B22" s="120" t="s">
        <v>464</v>
      </c>
      <c r="C22" s="120">
        <v>1</v>
      </c>
      <c r="D22" s="120">
        <v>1384</v>
      </c>
      <c r="E22" s="120">
        <v>141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19</v>
      </c>
      <c r="AG22" s="120">
        <v>19</v>
      </c>
      <c r="AH22" s="120">
        <v>141</v>
      </c>
      <c r="AI22" s="120">
        <v>1384</v>
      </c>
      <c r="AJ22" s="120">
        <v>1384</v>
      </c>
      <c r="AK22" s="202">
        <v>100</v>
      </c>
      <c r="AL22" s="120">
        <v>141</v>
      </c>
      <c r="AM22" s="202">
        <v>100</v>
      </c>
    </row>
    <row r="23" spans="1:40" x14ac:dyDescent="0.25">
      <c r="A23" s="158">
        <v>4</v>
      </c>
      <c r="B23" s="120" t="s">
        <v>463</v>
      </c>
      <c r="C23" s="120">
        <v>1</v>
      </c>
      <c r="D23" s="120">
        <v>2045</v>
      </c>
      <c r="E23" s="120">
        <v>426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19</v>
      </c>
      <c r="AG23" s="120">
        <v>19</v>
      </c>
      <c r="AH23" s="120">
        <v>426</v>
      </c>
      <c r="AI23" s="120">
        <v>2045</v>
      </c>
      <c r="AJ23" s="120">
        <v>2045</v>
      </c>
      <c r="AK23" s="202">
        <v>100</v>
      </c>
      <c r="AL23" s="120">
        <v>426</v>
      </c>
      <c r="AM23" s="202">
        <v>100</v>
      </c>
    </row>
    <row r="24" spans="1:40" x14ac:dyDescent="0.25">
      <c r="A24" s="158">
        <v>5</v>
      </c>
      <c r="B24" s="120" t="s">
        <v>462</v>
      </c>
      <c r="C24" s="120">
        <v>1</v>
      </c>
      <c r="D24" s="120">
        <v>5721</v>
      </c>
      <c r="E24" s="120">
        <v>1557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22</v>
      </c>
      <c r="AG24" s="120">
        <v>22</v>
      </c>
      <c r="AH24" s="120">
        <v>1557</v>
      </c>
      <c r="AI24" s="120">
        <v>5721</v>
      </c>
      <c r="AJ24" s="120">
        <v>5721</v>
      </c>
      <c r="AK24" s="202">
        <v>100</v>
      </c>
      <c r="AL24" s="120">
        <v>1557</v>
      </c>
      <c r="AM24" s="202">
        <v>100</v>
      </c>
    </row>
    <row r="25" spans="1:40" x14ac:dyDescent="0.25">
      <c r="A25" s="158">
        <v>6</v>
      </c>
      <c r="B25" s="120" t="s">
        <v>461</v>
      </c>
      <c r="C25" s="120">
        <v>1</v>
      </c>
      <c r="D25" s="120">
        <v>1288</v>
      </c>
      <c r="E25" s="120">
        <v>311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91</v>
      </c>
      <c r="AG25" s="120">
        <v>91</v>
      </c>
      <c r="AH25" s="120">
        <v>311</v>
      </c>
      <c r="AI25" s="120">
        <v>1288</v>
      </c>
      <c r="AJ25" s="120">
        <v>1288</v>
      </c>
      <c r="AK25" s="202">
        <v>100</v>
      </c>
      <c r="AL25" s="120">
        <v>311</v>
      </c>
      <c r="AM25" s="202">
        <v>100</v>
      </c>
    </row>
    <row r="26" spans="1:40" x14ac:dyDescent="0.25">
      <c r="A26" s="158">
        <v>7</v>
      </c>
      <c r="B26" s="120" t="s">
        <v>460</v>
      </c>
      <c r="C26" s="120">
        <v>1</v>
      </c>
      <c r="D26" s="120">
        <v>2623</v>
      </c>
      <c r="E26" s="120">
        <v>447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21</v>
      </c>
      <c r="AG26" s="120">
        <v>21</v>
      </c>
      <c r="AH26" s="120">
        <v>447</v>
      </c>
      <c r="AI26" s="120">
        <v>2623</v>
      </c>
      <c r="AJ26" s="120">
        <v>2623</v>
      </c>
      <c r="AK26" s="202">
        <v>100</v>
      </c>
      <c r="AL26" s="120">
        <v>447</v>
      </c>
      <c r="AM26" s="202">
        <v>100</v>
      </c>
    </row>
    <row r="27" spans="1:40" x14ac:dyDescent="0.25">
      <c r="A27" s="158">
        <v>8</v>
      </c>
      <c r="B27" s="120" t="s">
        <v>459</v>
      </c>
      <c r="C27" s="120">
        <v>1</v>
      </c>
      <c r="D27" s="120">
        <v>2171</v>
      </c>
      <c r="E27" s="120">
        <v>498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118</v>
      </c>
      <c r="AG27" s="120">
        <v>118</v>
      </c>
      <c r="AH27" s="120">
        <v>498</v>
      </c>
      <c r="AI27" s="120">
        <v>2171</v>
      </c>
      <c r="AJ27" s="120">
        <v>2171</v>
      </c>
      <c r="AK27" s="202">
        <v>100</v>
      </c>
      <c r="AL27" s="120">
        <v>498</v>
      </c>
      <c r="AM27" s="202">
        <v>100</v>
      </c>
    </row>
    <row r="28" spans="1:40" x14ac:dyDescent="0.25">
      <c r="A28" s="158">
        <v>9</v>
      </c>
      <c r="B28" s="120" t="s">
        <v>458</v>
      </c>
      <c r="C28" s="120">
        <v>1</v>
      </c>
      <c r="D28" s="120">
        <v>924</v>
      </c>
      <c r="E28" s="120">
        <v>232</v>
      </c>
      <c r="F28" s="120">
        <v>0</v>
      </c>
      <c r="G28" s="120">
        <v>0</v>
      </c>
      <c r="H28" s="120">
        <v>0</v>
      </c>
      <c r="I28" s="120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11</v>
      </c>
      <c r="AG28" s="120">
        <v>11</v>
      </c>
      <c r="AH28" s="120">
        <v>232</v>
      </c>
      <c r="AI28" s="120">
        <v>924</v>
      </c>
      <c r="AJ28" s="120">
        <v>924</v>
      </c>
      <c r="AK28" s="202">
        <v>100</v>
      </c>
      <c r="AL28" s="120">
        <v>232</v>
      </c>
      <c r="AM28" s="202">
        <v>100</v>
      </c>
    </row>
    <row r="29" spans="1:40" x14ac:dyDescent="0.25">
      <c r="A29" s="107"/>
      <c r="B29" s="107" t="s">
        <v>457</v>
      </c>
      <c r="C29" s="107">
        <f t="shared" ref="C29:AJ29" si="1">SUM(C20:C28)</f>
        <v>9</v>
      </c>
      <c r="D29" s="107">
        <f t="shared" si="1"/>
        <v>21774</v>
      </c>
      <c r="E29" s="107">
        <f t="shared" si="1"/>
        <v>4982</v>
      </c>
      <c r="F29" s="107">
        <f t="shared" si="1"/>
        <v>0</v>
      </c>
      <c r="G29" s="107">
        <f t="shared" si="1"/>
        <v>0</v>
      </c>
      <c r="H29" s="107">
        <f t="shared" si="1"/>
        <v>0</v>
      </c>
      <c r="I29" s="107">
        <f t="shared" si="1"/>
        <v>0</v>
      </c>
      <c r="J29" s="107">
        <f t="shared" si="1"/>
        <v>0</v>
      </c>
      <c r="K29" s="107">
        <f t="shared" si="1"/>
        <v>0</v>
      </c>
      <c r="L29" s="107">
        <f t="shared" si="1"/>
        <v>0</v>
      </c>
      <c r="M29" s="107">
        <f t="shared" si="1"/>
        <v>0</v>
      </c>
      <c r="N29" s="107">
        <f t="shared" si="1"/>
        <v>0</v>
      </c>
      <c r="O29" s="107">
        <f t="shared" si="1"/>
        <v>0</v>
      </c>
      <c r="P29" s="107">
        <f t="shared" si="1"/>
        <v>0</v>
      </c>
      <c r="Q29" s="107">
        <f t="shared" si="1"/>
        <v>0</v>
      </c>
      <c r="R29" s="107">
        <f t="shared" si="1"/>
        <v>0</v>
      </c>
      <c r="S29" s="107">
        <f t="shared" si="1"/>
        <v>0</v>
      </c>
      <c r="T29" s="107">
        <f t="shared" si="1"/>
        <v>0</v>
      </c>
      <c r="U29" s="107">
        <f t="shared" si="1"/>
        <v>0</v>
      </c>
      <c r="V29" s="107">
        <f t="shared" si="1"/>
        <v>0</v>
      </c>
      <c r="W29" s="107">
        <f t="shared" si="1"/>
        <v>0</v>
      </c>
      <c r="X29" s="107">
        <f t="shared" si="1"/>
        <v>0</v>
      </c>
      <c r="Y29" s="107">
        <f t="shared" si="1"/>
        <v>0</v>
      </c>
      <c r="Z29" s="107">
        <f t="shared" si="1"/>
        <v>0</v>
      </c>
      <c r="AA29" s="107">
        <f t="shared" si="1"/>
        <v>0</v>
      </c>
      <c r="AB29" s="107">
        <f t="shared" si="1"/>
        <v>0</v>
      </c>
      <c r="AC29" s="107">
        <f t="shared" si="1"/>
        <v>0</v>
      </c>
      <c r="AD29" s="107">
        <f t="shared" si="1"/>
        <v>0</v>
      </c>
      <c r="AE29" s="107">
        <f t="shared" si="1"/>
        <v>0</v>
      </c>
      <c r="AF29" s="107">
        <f t="shared" si="1"/>
        <v>342</v>
      </c>
      <c r="AG29" s="107">
        <f t="shared" si="1"/>
        <v>342</v>
      </c>
      <c r="AH29" s="107">
        <f t="shared" si="1"/>
        <v>4982</v>
      </c>
      <c r="AI29" s="107">
        <f t="shared" si="1"/>
        <v>21774</v>
      </c>
      <c r="AJ29" s="107">
        <f t="shared" si="1"/>
        <v>21774</v>
      </c>
      <c r="AK29" s="106">
        <f t="shared" ref="AK29:AK36" si="2">AJ29/D29*100</f>
        <v>100</v>
      </c>
      <c r="AL29" s="107">
        <f>SUM(AL20:AL28)</f>
        <v>4982</v>
      </c>
      <c r="AM29" s="106">
        <f t="shared" ref="AM29:AM35" si="3">AL29/E29*100</f>
        <v>100</v>
      </c>
      <c r="AN29" s="99">
        <v>100</v>
      </c>
    </row>
    <row r="30" spans="1:40" x14ac:dyDescent="0.25">
      <c r="A30" s="107">
        <v>1</v>
      </c>
      <c r="B30" s="209" t="s">
        <v>456</v>
      </c>
      <c r="C30" s="206">
        <v>1</v>
      </c>
      <c r="D30" s="208">
        <v>669</v>
      </c>
      <c r="E30" s="208">
        <v>134</v>
      </c>
      <c r="F30" s="206">
        <v>0</v>
      </c>
      <c r="G30" s="206">
        <v>0</v>
      </c>
      <c r="H30" s="206">
        <v>0</v>
      </c>
      <c r="I30" s="206">
        <v>0</v>
      </c>
      <c r="J30" s="206">
        <v>0</v>
      </c>
      <c r="K30" s="206">
        <v>0</v>
      </c>
      <c r="L30" s="206">
        <v>0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0</v>
      </c>
      <c r="W30" s="206">
        <v>0</v>
      </c>
      <c r="X30" s="206">
        <v>0</v>
      </c>
      <c r="Y30" s="206">
        <v>0</v>
      </c>
      <c r="Z30" s="206">
        <v>0</v>
      </c>
      <c r="AA30" s="206">
        <v>0</v>
      </c>
      <c r="AB30" s="206">
        <v>0</v>
      </c>
      <c r="AC30" s="206">
        <v>0</v>
      </c>
      <c r="AD30" s="206">
        <v>0</v>
      </c>
      <c r="AE30" s="206">
        <v>0</v>
      </c>
      <c r="AF30" s="206">
        <v>8</v>
      </c>
      <c r="AG30" s="206">
        <v>2</v>
      </c>
      <c r="AH30" s="206">
        <v>134</v>
      </c>
      <c r="AI30" s="208">
        <f>D30</f>
        <v>669</v>
      </c>
      <c r="AJ30" s="201">
        <f t="shared" ref="AJ30:AJ35" si="4">AI30+AE30+AA30+W30+S30+O30+J30</f>
        <v>669</v>
      </c>
      <c r="AK30" s="205">
        <f t="shared" si="2"/>
        <v>100</v>
      </c>
      <c r="AL30" s="204">
        <f t="shared" ref="AL30:AL35" si="5">AH30</f>
        <v>134</v>
      </c>
      <c r="AM30" s="203">
        <f t="shared" si="3"/>
        <v>100</v>
      </c>
    </row>
    <row r="31" spans="1:40" x14ac:dyDescent="0.25">
      <c r="A31" s="107">
        <v>2</v>
      </c>
      <c r="B31" s="209" t="s">
        <v>455</v>
      </c>
      <c r="C31" s="206">
        <v>1</v>
      </c>
      <c r="D31" s="208">
        <v>1141</v>
      </c>
      <c r="E31" s="208">
        <v>226</v>
      </c>
      <c r="F31" s="206">
        <v>0</v>
      </c>
      <c r="G31" s="206">
        <v>0</v>
      </c>
      <c r="H31" s="206">
        <v>0</v>
      </c>
      <c r="I31" s="206">
        <v>0</v>
      </c>
      <c r="J31" s="206">
        <v>0</v>
      </c>
      <c r="K31" s="206">
        <v>0</v>
      </c>
      <c r="L31" s="206">
        <v>0</v>
      </c>
      <c r="M31" s="206">
        <v>0</v>
      </c>
      <c r="N31" s="206">
        <v>0</v>
      </c>
      <c r="O31" s="206">
        <v>0</v>
      </c>
      <c r="P31" s="206">
        <v>0</v>
      </c>
      <c r="Q31" s="206">
        <v>0</v>
      </c>
      <c r="R31" s="206">
        <v>0</v>
      </c>
      <c r="S31" s="206">
        <v>0</v>
      </c>
      <c r="T31" s="206">
        <v>0</v>
      </c>
      <c r="U31" s="206">
        <v>0</v>
      </c>
      <c r="V31" s="206">
        <v>0</v>
      </c>
      <c r="W31" s="206">
        <v>0</v>
      </c>
      <c r="X31" s="206">
        <v>2</v>
      </c>
      <c r="Y31" s="206">
        <v>1</v>
      </c>
      <c r="Z31" s="206">
        <v>0</v>
      </c>
      <c r="AA31" s="206">
        <v>0</v>
      </c>
      <c r="AB31" s="206">
        <v>0</v>
      </c>
      <c r="AC31" s="206">
        <v>0</v>
      </c>
      <c r="AD31" s="206">
        <v>0</v>
      </c>
      <c r="AE31" s="206">
        <v>0</v>
      </c>
      <c r="AF31" s="206">
        <v>13</v>
      </c>
      <c r="AG31" s="206">
        <v>10</v>
      </c>
      <c r="AH31" s="206">
        <v>226</v>
      </c>
      <c r="AI31" s="208">
        <f>D31</f>
        <v>1141</v>
      </c>
      <c r="AJ31" s="201">
        <f t="shared" si="4"/>
        <v>1141</v>
      </c>
      <c r="AK31" s="205">
        <f t="shared" si="2"/>
        <v>100</v>
      </c>
      <c r="AL31" s="204">
        <f t="shared" si="5"/>
        <v>226</v>
      </c>
      <c r="AM31" s="203">
        <f t="shared" si="3"/>
        <v>100</v>
      </c>
    </row>
    <row r="32" spans="1:40" x14ac:dyDescent="0.25">
      <c r="A32" s="107">
        <v>3</v>
      </c>
      <c r="B32" s="209" t="s">
        <v>454</v>
      </c>
      <c r="C32" s="206">
        <v>1</v>
      </c>
      <c r="D32" s="208">
        <v>632</v>
      </c>
      <c r="E32" s="208">
        <v>140</v>
      </c>
      <c r="F32" s="206">
        <v>0</v>
      </c>
      <c r="G32" s="206">
        <v>0</v>
      </c>
      <c r="H32" s="206">
        <v>0</v>
      </c>
      <c r="I32" s="207">
        <v>0</v>
      </c>
      <c r="J32" s="206">
        <v>0</v>
      </c>
      <c r="K32" s="206">
        <v>0</v>
      </c>
      <c r="L32" s="206">
        <v>0</v>
      </c>
      <c r="M32" s="206">
        <v>0</v>
      </c>
      <c r="N32" s="206">
        <v>0</v>
      </c>
      <c r="O32" s="206">
        <v>0</v>
      </c>
      <c r="P32" s="206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0</v>
      </c>
      <c r="W32" s="206">
        <v>0</v>
      </c>
      <c r="X32" s="206">
        <v>1</v>
      </c>
      <c r="Y32" s="206">
        <v>1</v>
      </c>
      <c r="Z32" s="206">
        <v>4</v>
      </c>
      <c r="AA32" s="206">
        <v>20</v>
      </c>
      <c r="AB32" s="206">
        <v>0</v>
      </c>
      <c r="AC32" s="206">
        <v>0</v>
      </c>
      <c r="AD32" s="206">
        <v>0</v>
      </c>
      <c r="AE32" s="206">
        <v>0</v>
      </c>
      <c r="AF32" s="206">
        <v>6</v>
      </c>
      <c r="AG32" s="206">
        <v>4</v>
      </c>
      <c r="AH32" s="206">
        <v>120</v>
      </c>
      <c r="AI32" s="206">
        <v>530</v>
      </c>
      <c r="AJ32" s="201">
        <f t="shared" si="4"/>
        <v>550</v>
      </c>
      <c r="AK32" s="205">
        <f t="shared" si="2"/>
        <v>87.025316455696199</v>
      </c>
      <c r="AL32" s="204">
        <f t="shared" si="5"/>
        <v>120</v>
      </c>
      <c r="AM32" s="203">
        <f t="shared" si="3"/>
        <v>85.714285714285708</v>
      </c>
    </row>
    <row r="33" spans="1:40" x14ac:dyDescent="0.25">
      <c r="A33" s="107">
        <v>4</v>
      </c>
      <c r="B33" s="209" t="s">
        <v>453</v>
      </c>
      <c r="C33" s="206">
        <v>1</v>
      </c>
      <c r="D33" s="208">
        <v>1016</v>
      </c>
      <c r="E33" s="208">
        <v>220</v>
      </c>
      <c r="F33" s="206">
        <v>0</v>
      </c>
      <c r="G33" s="206">
        <v>0</v>
      </c>
      <c r="H33" s="206">
        <v>0</v>
      </c>
      <c r="I33" s="207">
        <v>0</v>
      </c>
      <c r="J33" s="206">
        <v>0</v>
      </c>
      <c r="K33" s="206">
        <v>0</v>
      </c>
      <c r="L33" s="206">
        <v>0</v>
      </c>
      <c r="M33" s="206">
        <v>0</v>
      </c>
      <c r="N33" s="206">
        <v>0</v>
      </c>
      <c r="O33" s="206">
        <v>0</v>
      </c>
      <c r="P33" s="206">
        <v>0</v>
      </c>
      <c r="Q33" s="206">
        <v>0</v>
      </c>
      <c r="R33" s="206">
        <v>0</v>
      </c>
      <c r="S33" s="206">
        <v>0</v>
      </c>
      <c r="T33" s="206">
        <v>0</v>
      </c>
      <c r="U33" s="206">
        <v>0</v>
      </c>
      <c r="V33" s="206">
        <v>0</v>
      </c>
      <c r="W33" s="206">
        <v>0</v>
      </c>
      <c r="X33" s="206">
        <v>1</v>
      </c>
      <c r="Y33" s="206">
        <v>1</v>
      </c>
      <c r="Z33" s="206">
        <v>10</v>
      </c>
      <c r="AA33" s="206">
        <v>30</v>
      </c>
      <c r="AB33" s="206">
        <v>0</v>
      </c>
      <c r="AC33" s="206">
        <v>0</v>
      </c>
      <c r="AD33" s="206">
        <v>0</v>
      </c>
      <c r="AE33" s="206">
        <v>0</v>
      </c>
      <c r="AF33" s="206">
        <v>9</v>
      </c>
      <c r="AG33" s="206">
        <v>7</v>
      </c>
      <c r="AH33" s="206">
        <v>218</v>
      </c>
      <c r="AI33" s="208">
        <v>980</v>
      </c>
      <c r="AJ33" s="201">
        <f t="shared" si="4"/>
        <v>1010</v>
      </c>
      <c r="AK33" s="205">
        <f t="shared" si="2"/>
        <v>99.409448818897644</v>
      </c>
      <c r="AL33" s="204">
        <f t="shared" si="5"/>
        <v>218</v>
      </c>
      <c r="AM33" s="203">
        <f t="shared" si="3"/>
        <v>99.090909090909093</v>
      </c>
    </row>
    <row r="34" spans="1:40" x14ac:dyDescent="0.25">
      <c r="A34" s="107">
        <v>5</v>
      </c>
      <c r="B34" s="209" t="s">
        <v>452</v>
      </c>
      <c r="C34" s="206">
        <v>1</v>
      </c>
      <c r="D34" s="208">
        <v>1906</v>
      </c>
      <c r="E34" s="208">
        <v>400</v>
      </c>
      <c r="F34" s="206">
        <v>0</v>
      </c>
      <c r="G34" s="206">
        <v>0</v>
      </c>
      <c r="H34" s="206">
        <v>0</v>
      </c>
      <c r="I34" s="207">
        <v>0</v>
      </c>
      <c r="J34" s="206">
        <v>0</v>
      </c>
      <c r="K34" s="206">
        <v>0</v>
      </c>
      <c r="L34" s="206">
        <v>0</v>
      </c>
      <c r="M34" s="206">
        <v>0</v>
      </c>
      <c r="N34" s="206">
        <v>0</v>
      </c>
      <c r="O34" s="206">
        <v>0</v>
      </c>
      <c r="P34" s="206">
        <v>0</v>
      </c>
      <c r="Q34" s="206">
        <v>0</v>
      </c>
      <c r="R34" s="206">
        <v>0</v>
      </c>
      <c r="S34" s="206">
        <v>0</v>
      </c>
      <c r="T34" s="206">
        <v>0</v>
      </c>
      <c r="U34" s="206">
        <v>0</v>
      </c>
      <c r="V34" s="206">
        <v>0</v>
      </c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06">
        <v>0</v>
      </c>
      <c r="AD34" s="206">
        <v>0</v>
      </c>
      <c r="AE34" s="206">
        <v>0</v>
      </c>
      <c r="AF34" s="206">
        <v>12</v>
      </c>
      <c r="AG34" s="206">
        <v>9</v>
      </c>
      <c r="AH34" s="206">
        <v>400</v>
      </c>
      <c r="AI34" s="208">
        <v>1600</v>
      </c>
      <c r="AJ34" s="201">
        <f t="shared" si="4"/>
        <v>1600</v>
      </c>
      <c r="AK34" s="205">
        <f t="shared" si="2"/>
        <v>83.945435466946478</v>
      </c>
      <c r="AL34" s="204">
        <f t="shared" si="5"/>
        <v>400</v>
      </c>
      <c r="AM34" s="203">
        <f t="shared" si="3"/>
        <v>100</v>
      </c>
    </row>
    <row r="35" spans="1:40" x14ac:dyDescent="0.25">
      <c r="A35" s="107">
        <v>6</v>
      </c>
      <c r="B35" s="209" t="s">
        <v>451</v>
      </c>
      <c r="C35" s="206">
        <v>1</v>
      </c>
      <c r="D35" s="208">
        <v>704</v>
      </c>
      <c r="E35" s="208">
        <v>143</v>
      </c>
      <c r="F35" s="206">
        <v>0</v>
      </c>
      <c r="G35" s="206">
        <v>0</v>
      </c>
      <c r="H35" s="206">
        <v>0</v>
      </c>
      <c r="I35" s="207">
        <v>0</v>
      </c>
      <c r="J35" s="206">
        <v>0</v>
      </c>
      <c r="K35" s="206">
        <v>0</v>
      </c>
      <c r="L35" s="206">
        <v>0</v>
      </c>
      <c r="M35" s="206">
        <v>0</v>
      </c>
      <c r="N35" s="206">
        <v>0</v>
      </c>
      <c r="O35" s="206">
        <v>0</v>
      </c>
      <c r="P35" s="206">
        <v>0</v>
      </c>
      <c r="Q35" s="206">
        <v>0</v>
      </c>
      <c r="R35" s="206">
        <v>0</v>
      </c>
      <c r="S35" s="206">
        <v>0</v>
      </c>
      <c r="T35" s="206">
        <v>0</v>
      </c>
      <c r="U35" s="206">
        <v>0</v>
      </c>
      <c r="V35" s="206">
        <v>0</v>
      </c>
      <c r="W35" s="206">
        <v>0</v>
      </c>
      <c r="X35" s="206">
        <v>0</v>
      </c>
      <c r="Y35" s="206">
        <v>0</v>
      </c>
      <c r="Z35" s="206">
        <v>10</v>
      </c>
      <c r="AA35" s="206">
        <v>27</v>
      </c>
      <c r="AB35" s="206">
        <v>0</v>
      </c>
      <c r="AC35" s="206">
        <v>0</v>
      </c>
      <c r="AD35" s="206">
        <v>0</v>
      </c>
      <c r="AE35" s="206">
        <v>0</v>
      </c>
      <c r="AF35" s="206">
        <v>6</v>
      </c>
      <c r="AG35" s="206">
        <v>4</v>
      </c>
      <c r="AH35" s="206">
        <v>143</v>
      </c>
      <c r="AI35" s="206">
        <v>677</v>
      </c>
      <c r="AJ35" s="201">
        <f t="shared" si="4"/>
        <v>704</v>
      </c>
      <c r="AK35" s="205">
        <f t="shared" si="2"/>
        <v>100</v>
      </c>
      <c r="AL35" s="204">
        <f t="shared" si="5"/>
        <v>143</v>
      </c>
      <c r="AM35" s="203">
        <f t="shared" si="3"/>
        <v>100</v>
      </c>
    </row>
    <row r="36" spans="1:40" x14ac:dyDescent="0.25">
      <c r="A36" s="107"/>
      <c r="B36" s="107" t="s">
        <v>450</v>
      </c>
      <c r="C36" s="107">
        <f t="shared" ref="C36:AJ36" si="6">SUM(C30:C35)</f>
        <v>6</v>
      </c>
      <c r="D36" s="107">
        <f t="shared" si="6"/>
        <v>6068</v>
      </c>
      <c r="E36" s="107">
        <f t="shared" si="6"/>
        <v>1263</v>
      </c>
      <c r="F36" s="107">
        <f t="shared" si="6"/>
        <v>0</v>
      </c>
      <c r="G36" s="107">
        <f t="shared" si="6"/>
        <v>0</v>
      </c>
      <c r="H36" s="107">
        <f t="shared" si="6"/>
        <v>0</v>
      </c>
      <c r="I36" s="107">
        <f t="shared" si="6"/>
        <v>0</v>
      </c>
      <c r="J36" s="107">
        <f t="shared" si="6"/>
        <v>0</v>
      </c>
      <c r="K36" s="107">
        <f t="shared" si="6"/>
        <v>0</v>
      </c>
      <c r="L36" s="107">
        <f t="shared" si="6"/>
        <v>0</v>
      </c>
      <c r="M36" s="107">
        <f t="shared" si="6"/>
        <v>0</v>
      </c>
      <c r="N36" s="107">
        <f t="shared" si="6"/>
        <v>0</v>
      </c>
      <c r="O36" s="107">
        <f t="shared" si="6"/>
        <v>0</v>
      </c>
      <c r="P36" s="107">
        <f t="shared" si="6"/>
        <v>0</v>
      </c>
      <c r="Q36" s="107">
        <f t="shared" si="6"/>
        <v>0</v>
      </c>
      <c r="R36" s="107">
        <f t="shared" si="6"/>
        <v>0</v>
      </c>
      <c r="S36" s="107">
        <f t="shared" si="6"/>
        <v>0</v>
      </c>
      <c r="T36" s="107">
        <f t="shared" si="6"/>
        <v>0</v>
      </c>
      <c r="U36" s="107">
        <f t="shared" si="6"/>
        <v>0</v>
      </c>
      <c r="V36" s="107">
        <f t="shared" si="6"/>
        <v>0</v>
      </c>
      <c r="W36" s="107">
        <f t="shared" si="6"/>
        <v>0</v>
      </c>
      <c r="X36" s="107">
        <f t="shared" si="6"/>
        <v>4</v>
      </c>
      <c r="Y36" s="107">
        <f t="shared" si="6"/>
        <v>3</v>
      </c>
      <c r="Z36" s="107">
        <f t="shared" si="6"/>
        <v>24</v>
      </c>
      <c r="AA36" s="107">
        <f t="shared" si="6"/>
        <v>77</v>
      </c>
      <c r="AB36" s="107">
        <f t="shared" si="6"/>
        <v>0</v>
      </c>
      <c r="AC36" s="107">
        <f t="shared" si="6"/>
        <v>0</v>
      </c>
      <c r="AD36" s="107">
        <f t="shared" si="6"/>
        <v>0</v>
      </c>
      <c r="AE36" s="107">
        <f t="shared" si="6"/>
        <v>0</v>
      </c>
      <c r="AF36" s="107">
        <f t="shared" si="6"/>
        <v>54</v>
      </c>
      <c r="AG36" s="107">
        <f t="shared" si="6"/>
        <v>36</v>
      </c>
      <c r="AH36" s="107">
        <f t="shared" si="6"/>
        <v>1241</v>
      </c>
      <c r="AI36" s="107">
        <f t="shared" si="6"/>
        <v>5597</v>
      </c>
      <c r="AJ36" s="107">
        <f t="shared" si="6"/>
        <v>5674</v>
      </c>
      <c r="AK36" s="106">
        <f t="shared" si="2"/>
        <v>93.506921555702036</v>
      </c>
      <c r="AL36" s="107">
        <f>SUM(AL30:AL35)</f>
        <v>1241</v>
      </c>
      <c r="AM36" s="106">
        <f>AL36/E36* 100</f>
        <v>98.25811559778306</v>
      </c>
      <c r="AN36" s="99">
        <v>100</v>
      </c>
    </row>
    <row r="37" spans="1:40" x14ac:dyDescent="0.25">
      <c r="A37" s="120">
        <v>1</v>
      </c>
      <c r="B37" s="120" t="s">
        <v>449</v>
      </c>
      <c r="C37" s="120">
        <v>3</v>
      </c>
      <c r="D37" s="149">
        <v>2698</v>
      </c>
      <c r="E37" s="149">
        <v>610</v>
      </c>
      <c r="F37" s="149">
        <v>8</v>
      </c>
      <c r="G37" s="149">
        <v>4</v>
      </c>
      <c r="H37" s="149">
        <v>4</v>
      </c>
      <c r="I37" s="149">
        <v>4</v>
      </c>
      <c r="J37" s="149">
        <v>310</v>
      </c>
      <c r="K37" s="149"/>
      <c r="L37" s="149"/>
      <c r="M37" s="149"/>
      <c r="N37" s="149"/>
      <c r="O37" s="149"/>
      <c r="P37" s="149"/>
      <c r="Q37" s="149"/>
      <c r="R37" s="149"/>
      <c r="S37" s="149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>
        <v>3</v>
      </c>
      <c r="AG37" s="120"/>
      <c r="AH37" s="120">
        <v>606</v>
      </c>
      <c r="AI37" s="149">
        <v>2265</v>
      </c>
      <c r="AJ37" s="149">
        <v>2575</v>
      </c>
      <c r="AK37" s="108">
        <v>95.441067457375837</v>
      </c>
      <c r="AL37" s="149">
        <v>606</v>
      </c>
      <c r="AM37" s="108">
        <v>99.344262295081961</v>
      </c>
    </row>
    <row r="38" spans="1:40" x14ac:dyDescent="0.25">
      <c r="A38" s="120">
        <v>2</v>
      </c>
      <c r="B38" s="120" t="s">
        <v>448</v>
      </c>
      <c r="C38" s="120">
        <v>4</v>
      </c>
      <c r="D38" s="149">
        <v>2292</v>
      </c>
      <c r="E38" s="149">
        <v>673</v>
      </c>
      <c r="F38" s="149">
        <v>2</v>
      </c>
      <c r="G38" s="149">
        <v>2</v>
      </c>
      <c r="H38" s="149">
        <v>2</v>
      </c>
      <c r="I38" s="149">
        <v>2</v>
      </c>
      <c r="J38" s="149">
        <v>120</v>
      </c>
      <c r="K38" s="149"/>
      <c r="L38" s="149"/>
      <c r="M38" s="149"/>
      <c r="N38" s="149"/>
      <c r="O38" s="149"/>
      <c r="P38" s="149"/>
      <c r="Q38" s="149"/>
      <c r="R38" s="149"/>
      <c r="S38" s="149"/>
      <c r="T38" s="120"/>
      <c r="U38" s="120"/>
      <c r="V38" s="120"/>
      <c r="W38" s="120"/>
      <c r="X38" s="120">
        <v>1</v>
      </c>
      <c r="Y38" s="120"/>
      <c r="Z38" s="120">
        <v>673</v>
      </c>
      <c r="AA38" s="120">
        <v>2172</v>
      </c>
      <c r="AB38" s="120"/>
      <c r="AC38" s="120"/>
      <c r="AD38" s="120"/>
      <c r="AE38" s="120"/>
      <c r="AF38" s="120">
        <v>0</v>
      </c>
      <c r="AG38" s="120"/>
      <c r="AH38" s="120"/>
      <c r="AI38" s="149"/>
      <c r="AJ38" s="149">
        <v>2292</v>
      </c>
      <c r="AK38" s="108">
        <v>100</v>
      </c>
      <c r="AL38" s="149">
        <v>673</v>
      </c>
      <c r="AM38" s="108">
        <v>100</v>
      </c>
    </row>
    <row r="39" spans="1:40" x14ac:dyDescent="0.25">
      <c r="A39" s="120">
        <v>3</v>
      </c>
      <c r="B39" s="120" t="s">
        <v>447</v>
      </c>
      <c r="C39" s="120">
        <v>4</v>
      </c>
      <c r="D39" s="149">
        <v>2547</v>
      </c>
      <c r="E39" s="149">
        <v>816</v>
      </c>
      <c r="F39" s="149">
        <v>1</v>
      </c>
      <c r="G39" s="149">
        <v>1</v>
      </c>
      <c r="H39" s="149">
        <v>1</v>
      </c>
      <c r="I39" s="149">
        <v>2</v>
      </c>
      <c r="J39" s="149">
        <v>15</v>
      </c>
      <c r="K39" s="149"/>
      <c r="L39" s="149"/>
      <c r="M39" s="149"/>
      <c r="N39" s="149"/>
      <c r="O39" s="149"/>
      <c r="P39" s="149"/>
      <c r="Q39" s="149"/>
      <c r="R39" s="149"/>
      <c r="S39" s="149"/>
      <c r="T39" s="120"/>
      <c r="U39" s="120"/>
      <c r="V39" s="120"/>
      <c r="W39" s="120"/>
      <c r="X39" s="120">
        <v>1</v>
      </c>
      <c r="Y39" s="120"/>
      <c r="Z39" s="120">
        <v>790</v>
      </c>
      <c r="AA39" s="120">
        <v>2450</v>
      </c>
      <c r="AB39" s="120"/>
      <c r="AC39" s="120"/>
      <c r="AD39" s="120"/>
      <c r="AE39" s="120"/>
      <c r="AF39" s="120">
        <v>0</v>
      </c>
      <c r="AG39" s="120"/>
      <c r="AH39" s="120"/>
      <c r="AI39" s="120"/>
      <c r="AJ39" s="149">
        <v>2465</v>
      </c>
      <c r="AK39" s="108">
        <v>96.780526109148013</v>
      </c>
      <c r="AL39" s="120">
        <v>790</v>
      </c>
      <c r="AM39" s="108">
        <v>96.813725490196077</v>
      </c>
    </row>
    <row r="40" spans="1:40" x14ac:dyDescent="0.25">
      <c r="A40" s="120">
        <v>4</v>
      </c>
      <c r="B40" s="120" t="s">
        <v>446</v>
      </c>
      <c r="C40" s="120">
        <v>3</v>
      </c>
      <c r="D40" s="149">
        <v>1911</v>
      </c>
      <c r="E40" s="149">
        <v>628</v>
      </c>
      <c r="F40" s="149">
        <v>5</v>
      </c>
      <c r="G40" s="149">
        <v>2</v>
      </c>
      <c r="H40" s="149">
        <v>2</v>
      </c>
      <c r="I40" s="149">
        <v>30</v>
      </c>
      <c r="J40" s="149">
        <v>215</v>
      </c>
      <c r="K40" s="149"/>
      <c r="L40" s="149"/>
      <c r="M40" s="149"/>
      <c r="N40" s="149"/>
      <c r="O40" s="149"/>
      <c r="P40" s="149">
        <v>1</v>
      </c>
      <c r="Q40" s="149"/>
      <c r="R40" s="149">
        <v>539</v>
      </c>
      <c r="S40" s="149">
        <v>1535</v>
      </c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>
        <v>0</v>
      </c>
      <c r="AG40" s="120"/>
      <c r="AH40" s="120"/>
      <c r="AI40" s="120"/>
      <c r="AJ40" s="149">
        <v>1750</v>
      </c>
      <c r="AK40" s="108">
        <v>91.575091575091577</v>
      </c>
      <c r="AL40" s="120">
        <v>539</v>
      </c>
      <c r="AM40" s="108">
        <v>85.828025477707001</v>
      </c>
    </row>
    <row r="41" spans="1:40" x14ac:dyDescent="0.25">
      <c r="A41" s="120">
        <v>5</v>
      </c>
      <c r="B41" s="120" t="s">
        <v>445</v>
      </c>
      <c r="C41" s="120">
        <v>3</v>
      </c>
      <c r="D41" s="149">
        <v>2261</v>
      </c>
      <c r="E41" s="149">
        <v>610</v>
      </c>
      <c r="F41" s="149">
        <v>1</v>
      </c>
      <c r="G41" s="149">
        <v>1</v>
      </c>
      <c r="H41" s="149">
        <v>1</v>
      </c>
      <c r="I41" s="149">
        <v>1</v>
      </c>
      <c r="J41" s="149">
        <v>3</v>
      </c>
      <c r="K41" s="149"/>
      <c r="L41" s="149"/>
      <c r="M41" s="149"/>
      <c r="N41" s="149"/>
      <c r="O41" s="149"/>
      <c r="P41" s="149"/>
      <c r="Q41" s="149"/>
      <c r="R41" s="149"/>
      <c r="S41" s="149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>
        <v>2</v>
      </c>
      <c r="AG41" s="120"/>
      <c r="AH41" s="120">
        <v>573</v>
      </c>
      <c r="AI41" s="120">
        <v>2150</v>
      </c>
      <c r="AJ41" s="149">
        <v>2153</v>
      </c>
      <c r="AK41" s="108">
        <v>95.2233524988943</v>
      </c>
      <c r="AL41" s="120">
        <v>573</v>
      </c>
      <c r="AM41" s="108">
        <v>93.93442622950819</v>
      </c>
    </row>
    <row r="42" spans="1:40" x14ac:dyDescent="0.25">
      <c r="A42" s="120">
        <v>6</v>
      </c>
      <c r="B42" s="120" t="s">
        <v>444</v>
      </c>
      <c r="C42" s="120">
        <v>4</v>
      </c>
      <c r="D42" s="149">
        <v>1648</v>
      </c>
      <c r="E42" s="149">
        <v>533</v>
      </c>
      <c r="F42" s="149">
        <v>7</v>
      </c>
      <c r="G42" s="149">
        <v>5</v>
      </c>
      <c r="H42" s="149">
        <v>5</v>
      </c>
      <c r="I42" s="149">
        <v>18</v>
      </c>
      <c r="J42" s="149">
        <v>92</v>
      </c>
      <c r="K42" s="149"/>
      <c r="L42" s="149"/>
      <c r="M42" s="149"/>
      <c r="N42" s="149"/>
      <c r="O42" s="149"/>
      <c r="P42" s="149"/>
      <c r="Q42" s="149"/>
      <c r="R42" s="149"/>
      <c r="S42" s="149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>
        <v>2</v>
      </c>
      <c r="AG42" s="120"/>
      <c r="AH42" s="120">
        <v>510</v>
      </c>
      <c r="AI42" s="120">
        <v>1536</v>
      </c>
      <c r="AJ42" s="149">
        <v>1628</v>
      </c>
      <c r="AK42" s="108">
        <v>98.786407766990294</v>
      </c>
      <c r="AL42" s="120">
        <v>510</v>
      </c>
      <c r="AM42" s="108">
        <v>95.684803001876176</v>
      </c>
    </row>
    <row r="43" spans="1:40" x14ac:dyDescent="0.25">
      <c r="A43" s="120">
        <v>7</v>
      </c>
      <c r="B43" s="120" t="s">
        <v>443</v>
      </c>
      <c r="C43" s="120">
        <v>3</v>
      </c>
      <c r="D43" s="149">
        <v>2413</v>
      </c>
      <c r="E43" s="149">
        <v>627</v>
      </c>
      <c r="F43" s="149">
        <v>68</v>
      </c>
      <c r="G43" s="149">
        <v>40</v>
      </c>
      <c r="H43" s="149">
        <v>40</v>
      </c>
      <c r="I43" s="149">
        <v>0</v>
      </c>
      <c r="J43" s="149">
        <v>0</v>
      </c>
      <c r="K43" s="149"/>
      <c r="L43" s="149"/>
      <c r="M43" s="149"/>
      <c r="N43" s="149"/>
      <c r="O43" s="149"/>
      <c r="P43" s="149"/>
      <c r="Q43" s="149"/>
      <c r="R43" s="149"/>
      <c r="S43" s="149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>
        <v>3</v>
      </c>
      <c r="AG43" s="120"/>
      <c r="AH43" s="120">
        <v>617</v>
      </c>
      <c r="AI43" s="201">
        <v>2249</v>
      </c>
      <c r="AJ43" s="149">
        <v>2249</v>
      </c>
      <c r="AK43" s="108">
        <v>93.203481143804396</v>
      </c>
      <c r="AL43" s="120">
        <v>617</v>
      </c>
      <c r="AM43" s="108">
        <v>98.40510366826156</v>
      </c>
    </row>
    <row r="44" spans="1:40" x14ac:dyDescent="0.25">
      <c r="A44" s="120">
        <v>8</v>
      </c>
      <c r="B44" s="120" t="s">
        <v>442</v>
      </c>
      <c r="C44" s="120">
        <v>3</v>
      </c>
      <c r="D44" s="149">
        <v>1311</v>
      </c>
      <c r="E44" s="149">
        <v>314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/>
      <c r="L44" s="149"/>
      <c r="M44" s="149"/>
      <c r="N44" s="149"/>
      <c r="O44" s="149"/>
      <c r="P44" s="149"/>
      <c r="Q44" s="149"/>
      <c r="R44" s="149"/>
      <c r="S44" s="149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>
        <v>1</v>
      </c>
      <c r="AG44" s="120"/>
      <c r="AH44" s="120">
        <v>295</v>
      </c>
      <c r="AI44" s="120">
        <v>1290</v>
      </c>
      <c r="AJ44" s="201">
        <v>1290</v>
      </c>
      <c r="AK44" s="108">
        <v>98.398169336384441</v>
      </c>
      <c r="AL44" s="120">
        <v>295</v>
      </c>
      <c r="AM44" s="108">
        <v>93.949044585987266</v>
      </c>
    </row>
    <row r="45" spans="1:40" x14ac:dyDescent="0.25">
      <c r="A45" s="120">
        <v>9</v>
      </c>
      <c r="B45" s="120" t="s">
        <v>441</v>
      </c>
      <c r="C45" s="120">
        <v>3</v>
      </c>
      <c r="D45" s="149">
        <v>802</v>
      </c>
      <c r="E45" s="149">
        <v>226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/>
      <c r="L45" s="149"/>
      <c r="M45" s="149"/>
      <c r="N45" s="149"/>
      <c r="O45" s="149"/>
      <c r="P45" s="149"/>
      <c r="Q45" s="149"/>
      <c r="R45" s="149"/>
      <c r="S45" s="149"/>
      <c r="T45" s="120"/>
      <c r="U45" s="120"/>
      <c r="V45" s="120"/>
      <c r="W45" s="120"/>
      <c r="X45" s="120"/>
      <c r="Y45" s="120"/>
      <c r="Z45" s="120"/>
      <c r="AA45" s="201"/>
      <c r="AB45" s="120"/>
      <c r="AC45" s="120"/>
      <c r="AD45" s="120"/>
      <c r="AE45" s="120"/>
      <c r="AF45" s="120">
        <v>2</v>
      </c>
      <c r="AG45" s="120"/>
      <c r="AH45" s="120">
        <v>194</v>
      </c>
      <c r="AI45" s="201">
        <v>704</v>
      </c>
      <c r="AJ45" s="201">
        <v>704</v>
      </c>
      <c r="AK45" s="108">
        <v>87.780548628428917</v>
      </c>
      <c r="AL45" s="120">
        <v>194</v>
      </c>
      <c r="AM45" s="108">
        <v>85.840707964601776</v>
      </c>
    </row>
    <row r="46" spans="1:40" x14ac:dyDescent="0.25">
      <c r="A46" s="107">
        <v>2</v>
      </c>
      <c r="B46" s="107" t="s">
        <v>440</v>
      </c>
      <c r="C46" s="107">
        <f t="shared" ref="C46:AJ46" si="7">SUM(C37:C45)</f>
        <v>30</v>
      </c>
      <c r="D46" s="107">
        <f t="shared" si="7"/>
        <v>17883</v>
      </c>
      <c r="E46" s="107">
        <f t="shared" si="7"/>
        <v>5037</v>
      </c>
      <c r="F46" s="107">
        <f t="shared" si="7"/>
        <v>92</v>
      </c>
      <c r="G46" s="107">
        <f t="shared" si="7"/>
        <v>55</v>
      </c>
      <c r="H46" s="107">
        <f t="shared" si="7"/>
        <v>55</v>
      </c>
      <c r="I46" s="107">
        <f t="shared" si="7"/>
        <v>57</v>
      </c>
      <c r="J46" s="107">
        <f t="shared" si="7"/>
        <v>755</v>
      </c>
      <c r="K46" s="107">
        <f t="shared" si="7"/>
        <v>0</v>
      </c>
      <c r="L46" s="107">
        <f t="shared" si="7"/>
        <v>0</v>
      </c>
      <c r="M46" s="107">
        <f t="shared" si="7"/>
        <v>0</v>
      </c>
      <c r="N46" s="107">
        <f t="shared" si="7"/>
        <v>0</v>
      </c>
      <c r="O46" s="107">
        <f t="shared" si="7"/>
        <v>0</v>
      </c>
      <c r="P46" s="107">
        <f t="shared" si="7"/>
        <v>1</v>
      </c>
      <c r="Q46" s="107">
        <f t="shared" si="7"/>
        <v>0</v>
      </c>
      <c r="R46" s="107">
        <f t="shared" si="7"/>
        <v>539</v>
      </c>
      <c r="S46" s="107">
        <f t="shared" si="7"/>
        <v>1535</v>
      </c>
      <c r="T46" s="107">
        <f t="shared" si="7"/>
        <v>0</v>
      </c>
      <c r="U46" s="107">
        <f t="shared" si="7"/>
        <v>0</v>
      </c>
      <c r="V46" s="107">
        <f t="shared" si="7"/>
        <v>0</v>
      </c>
      <c r="W46" s="107">
        <f t="shared" si="7"/>
        <v>0</v>
      </c>
      <c r="X46" s="107">
        <f t="shared" si="7"/>
        <v>2</v>
      </c>
      <c r="Y46" s="107">
        <f t="shared" si="7"/>
        <v>0</v>
      </c>
      <c r="Z46" s="107">
        <f t="shared" si="7"/>
        <v>1463</v>
      </c>
      <c r="AA46" s="107">
        <f t="shared" si="7"/>
        <v>4622</v>
      </c>
      <c r="AB46" s="107">
        <f t="shared" si="7"/>
        <v>0</v>
      </c>
      <c r="AC46" s="107">
        <f t="shared" si="7"/>
        <v>0</v>
      </c>
      <c r="AD46" s="107">
        <f t="shared" si="7"/>
        <v>0</v>
      </c>
      <c r="AE46" s="107">
        <f t="shared" si="7"/>
        <v>0</v>
      </c>
      <c r="AF46" s="107">
        <f t="shared" si="7"/>
        <v>13</v>
      </c>
      <c r="AG46" s="107">
        <f t="shared" si="7"/>
        <v>0</v>
      </c>
      <c r="AH46" s="107">
        <f t="shared" si="7"/>
        <v>2795</v>
      </c>
      <c r="AI46" s="107">
        <f t="shared" si="7"/>
        <v>10194</v>
      </c>
      <c r="AJ46" s="107">
        <f t="shared" si="7"/>
        <v>17106</v>
      </c>
      <c r="AK46" s="106">
        <f t="shared" ref="AK46:AK53" si="8">AJ46/D46*100</f>
        <v>95.655091427612817</v>
      </c>
      <c r="AL46" s="107">
        <f>SUM(AL37:AL45)</f>
        <v>4797</v>
      </c>
      <c r="AM46" s="106">
        <f t="shared" ref="AM46:AM53" si="9">AL46/E46*100</f>
        <v>95.235259082787366</v>
      </c>
      <c r="AN46" s="99">
        <v>95.86</v>
      </c>
    </row>
    <row r="47" spans="1:40" x14ac:dyDescent="0.25">
      <c r="A47" s="120">
        <v>1</v>
      </c>
      <c r="B47" s="120" t="s">
        <v>439</v>
      </c>
      <c r="C47" s="120">
        <v>5</v>
      </c>
      <c r="D47" s="149">
        <v>1441</v>
      </c>
      <c r="E47" s="149">
        <v>831</v>
      </c>
      <c r="F47" s="149">
        <v>70</v>
      </c>
      <c r="G47" s="149">
        <v>60</v>
      </c>
      <c r="H47" s="149">
        <v>70</v>
      </c>
      <c r="I47" s="149">
        <v>415</v>
      </c>
      <c r="J47" s="149">
        <v>420</v>
      </c>
      <c r="K47" s="149">
        <v>14</v>
      </c>
      <c r="L47" s="149">
        <v>13</v>
      </c>
      <c r="M47" s="149">
        <v>14</v>
      </c>
      <c r="N47" s="149">
        <v>52</v>
      </c>
      <c r="O47" s="149">
        <v>379</v>
      </c>
      <c r="P47" s="149">
        <v>288</v>
      </c>
      <c r="Q47" s="149">
        <v>288</v>
      </c>
      <c r="R47" s="149">
        <v>288</v>
      </c>
      <c r="S47" s="149">
        <v>500</v>
      </c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>
        <v>1</v>
      </c>
      <c r="AH47" s="120">
        <v>1</v>
      </c>
      <c r="AI47" s="201"/>
      <c r="AJ47" s="201">
        <f t="shared" ref="AJ47:AJ52" si="10">AI47+AE47+AA47+W47+S47+O47+J47</f>
        <v>1299</v>
      </c>
      <c r="AK47" s="108">
        <f t="shared" si="8"/>
        <v>90.14573213046495</v>
      </c>
      <c r="AL47" s="163">
        <f t="shared" ref="AL47:AL52" si="11">AH47+AD47+Z47+V47+R47+N47+I47</f>
        <v>756</v>
      </c>
      <c r="AM47" s="108">
        <f t="shared" si="9"/>
        <v>90.974729241877256</v>
      </c>
    </row>
    <row r="48" spans="1:40" x14ac:dyDescent="0.25">
      <c r="A48" s="120">
        <v>2</v>
      </c>
      <c r="B48" s="120" t="s">
        <v>438</v>
      </c>
      <c r="C48" s="120">
        <v>8</v>
      </c>
      <c r="D48" s="149">
        <v>4060</v>
      </c>
      <c r="E48" s="149">
        <v>1481</v>
      </c>
      <c r="F48" s="149">
        <v>61</v>
      </c>
      <c r="G48" s="149">
        <v>58</v>
      </c>
      <c r="H48" s="149">
        <v>61</v>
      </c>
      <c r="I48" s="149">
        <v>410</v>
      </c>
      <c r="J48" s="149">
        <v>665</v>
      </c>
      <c r="K48" s="149">
        <v>32</v>
      </c>
      <c r="L48" s="149">
        <v>30</v>
      </c>
      <c r="M48" s="149">
        <v>32</v>
      </c>
      <c r="N48" s="149">
        <v>300</v>
      </c>
      <c r="O48" s="149">
        <v>655</v>
      </c>
      <c r="P48" s="149">
        <v>320</v>
      </c>
      <c r="Q48" s="149">
        <v>315</v>
      </c>
      <c r="R48" s="149">
        <v>490</v>
      </c>
      <c r="S48" s="149">
        <v>1750</v>
      </c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>
        <v>1</v>
      </c>
      <c r="AH48" s="120">
        <v>1</v>
      </c>
      <c r="AI48" s="202"/>
      <c r="AJ48" s="201">
        <f t="shared" si="10"/>
        <v>3070</v>
      </c>
      <c r="AK48" s="108">
        <f t="shared" si="8"/>
        <v>75.615763546798036</v>
      </c>
      <c r="AL48" s="163">
        <f t="shared" si="11"/>
        <v>1201</v>
      </c>
      <c r="AM48" s="108">
        <f t="shared" si="9"/>
        <v>81.093855503038498</v>
      </c>
    </row>
    <row r="49" spans="1:40" x14ac:dyDescent="0.25">
      <c r="A49" s="120">
        <v>3</v>
      </c>
      <c r="B49" s="120" t="s">
        <v>437</v>
      </c>
      <c r="C49" s="120">
        <v>4</v>
      </c>
      <c r="D49" s="149">
        <v>3195</v>
      </c>
      <c r="E49" s="149">
        <v>1323</v>
      </c>
      <c r="F49" s="149">
        <v>64</v>
      </c>
      <c r="G49" s="149">
        <v>56</v>
      </c>
      <c r="H49" s="149">
        <v>64</v>
      </c>
      <c r="I49" s="149">
        <v>470</v>
      </c>
      <c r="J49" s="149">
        <v>871</v>
      </c>
      <c r="K49" s="149">
        <v>50</v>
      </c>
      <c r="L49" s="149">
        <v>43</v>
      </c>
      <c r="M49" s="149">
        <v>50</v>
      </c>
      <c r="N49" s="149">
        <v>215</v>
      </c>
      <c r="O49" s="149">
        <v>825</v>
      </c>
      <c r="P49" s="149">
        <v>343</v>
      </c>
      <c r="Q49" s="149">
        <v>322</v>
      </c>
      <c r="R49" s="149">
        <v>360</v>
      </c>
      <c r="S49" s="149">
        <v>1400</v>
      </c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>
        <v>70</v>
      </c>
      <c r="AG49" s="120">
        <v>70</v>
      </c>
      <c r="AH49" s="120">
        <v>100</v>
      </c>
      <c r="AI49" s="120">
        <v>80</v>
      </c>
      <c r="AJ49" s="201">
        <f t="shared" si="10"/>
        <v>3176</v>
      </c>
      <c r="AK49" s="108">
        <f t="shared" si="8"/>
        <v>99.40532081377151</v>
      </c>
      <c r="AL49" s="163">
        <f t="shared" si="11"/>
        <v>1145</v>
      </c>
      <c r="AM49" s="108">
        <f t="shared" si="9"/>
        <v>86.545729402872269</v>
      </c>
    </row>
    <row r="50" spans="1:40" x14ac:dyDescent="0.25">
      <c r="A50" s="120">
        <v>4</v>
      </c>
      <c r="B50" s="120" t="s">
        <v>436</v>
      </c>
      <c r="C50" s="120">
        <v>5</v>
      </c>
      <c r="D50" s="149">
        <v>2201</v>
      </c>
      <c r="E50" s="149">
        <v>807</v>
      </c>
      <c r="F50" s="149">
        <v>22</v>
      </c>
      <c r="G50" s="149">
        <v>18</v>
      </c>
      <c r="H50" s="149">
        <v>22</v>
      </c>
      <c r="I50" s="149">
        <v>210</v>
      </c>
      <c r="J50" s="149">
        <v>205</v>
      </c>
      <c r="K50" s="149">
        <v>65</v>
      </c>
      <c r="L50" s="149">
        <v>65</v>
      </c>
      <c r="M50" s="149">
        <v>65</v>
      </c>
      <c r="N50" s="149">
        <v>260</v>
      </c>
      <c r="O50" s="149">
        <v>617</v>
      </c>
      <c r="P50" s="149">
        <v>140</v>
      </c>
      <c r="Q50" s="149">
        <v>134</v>
      </c>
      <c r="R50" s="149">
        <v>240</v>
      </c>
      <c r="S50" s="149">
        <v>1200</v>
      </c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>
        <v>50</v>
      </c>
      <c r="AG50" s="120">
        <v>50</v>
      </c>
      <c r="AH50" s="120">
        <v>60</v>
      </c>
      <c r="AI50" s="120">
        <v>150</v>
      </c>
      <c r="AJ50" s="201">
        <f t="shared" si="10"/>
        <v>2172</v>
      </c>
      <c r="AK50" s="108">
        <f t="shared" si="8"/>
        <v>98.682417083144031</v>
      </c>
      <c r="AL50" s="163">
        <f t="shared" si="11"/>
        <v>770</v>
      </c>
      <c r="AM50" s="108">
        <f t="shared" si="9"/>
        <v>95.415117719950445</v>
      </c>
    </row>
    <row r="51" spans="1:40" x14ac:dyDescent="0.25">
      <c r="A51" s="120">
        <v>5</v>
      </c>
      <c r="B51" s="120" t="s">
        <v>435</v>
      </c>
      <c r="C51" s="120">
        <v>10</v>
      </c>
      <c r="D51" s="149">
        <v>6198</v>
      </c>
      <c r="E51" s="149">
        <v>1551</v>
      </c>
      <c r="F51" s="149">
        <v>43</v>
      </c>
      <c r="G51" s="149">
        <v>36</v>
      </c>
      <c r="H51" s="149">
        <v>43</v>
      </c>
      <c r="I51" s="149">
        <v>885</v>
      </c>
      <c r="J51" s="149">
        <v>1350</v>
      </c>
      <c r="K51" s="149">
        <v>43</v>
      </c>
      <c r="L51" s="149">
        <v>42</v>
      </c>
      <c r="M51" s="149">
        <v>43</v>
      </c>
      <c r="N51" s="149">
        <v>165</v>
      </c>
      <c r="O51" s="149">
        <v>3011</v>
      </c>
      <c r="P51" s="149">
        <v>455</v>
      </c>
      <c r="Q51" s="149">
        <v>450</v>
      </c>
      <c r="R51" s="149">
        <v>470</v>
      </c>
      <c r="S51" s="149">
        <v>1530</v>
      </c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04"/>
      <c r="AJ51" s="201">
        <f t="shared" si="10"/>
        <v>5891</v>
      </c>
      <c r="AK51" s="108">
        <f t="shared" si="8"/>
        <v>95.046789286866726</v>
      </c>
      <c r="AL51" s="163">
        <f t="shared" si="11"/>
        <v>1520</v>
      </c>
      <c r="AM51" s="108">
        <f t="shared" si="9"/>
        <v>98.001289490651189</v>
      </c>
    </row>
    <row r="52" spans="1:40" x14ac:dyDescent="0.25">
      <c r="A52" s="158">
        <v>6</v>
      </c>
      <c r="B52" s="158" t="s">
        <v>434</v>
      </c>
      <c r="C52" s="158">
        <v>5</v>
      </c>
      <c r="D52" s="152">
        <v>3177</v>
      </c>
      <c r="E52" s="152">
        <v>1051</v>
      </c>
      <c r="F52" s="152">
        <v>50</v>
      </c>
      <c r="G52" s="152">
        <v>32</v>
      </c>
      <c r="H52" s="152">
        <v>50</v>
      </c>
      <c r="I52" s="152">
        <v>450</v>
      </c>
      <c r="J52" s="152">
        <v>565</v>
      </c>
      <c r="K52" s="152">
        <v>29</v>
      </c>
      <c r="L52" s="152">
        <v>27</v>
      </c>
      <c r="M52" s="152">
        <v>29</v>
      </c>
      <c r="N52" s="152">
        <v>135</v>
      </c>
      <c r="O52" s="152">
        <v>486</v>
      </c>
      <c r="P52" s="152">
        <v>231</v>
      </c>
      <c r="Q52" s="152">
        <v>231</v>
      </c>
      <c r="R52" s="152">
        <v>281</v>
      </c>
      <c r="S52" s="152">
        <v>1405</v>
      </c>
      <c r="T52" s="158"/>
      <c r="U52" s="158"/>
      <c r="V52" s="158"/>
      <c r="W52" s="158"/>
      <c r="X52" s="158"/>
      <c r="Y52" s="158"/>
      <c r="Z52" s="158"/>
      <c r="AA52" s="152"/>
      <c r="AB52" s="158"/>
      <c r="AC52" s="158"/>
      <c r="AD52" s="158"/>
      <c r="AE52" s="158"/>
      <c r="AF52" s="158"/>
      <c r="AG52" s="158">
        <v>1</v>
      </c>
      <c r="AH52" s="158">
        <v>1</v>
      </c>
      <c r="AI52" s="152"/>
      <c r="AJ52" s="201">
        <f t="shared" si="10"/>
        <v>2456</v>
      </c>
      <c r="AK52" s="108">
        <f t="shared" si="8"/>
        <v>77.305634246144166</v>
      </c>
      <c r="AL52" s="163">
        <f t="shared" si="11"/>
        <v>867</v>
      </c>
      <c r="AM52" s="108">
        <f t="shared" si="9"/>
        <v>82.492863939105604</v>
      </c>
    </row>
    <row r="53" spans="1:40" x14ac:dyDescent="0.25">
      <c r="A53" s="107">
        <v>3</v>
      </c>
      <c r="B53" s="107" t="s">
        <v>433</v>
      </c>
      <c r="C53" s="107">
        <f t="shared" ref="C53:AJ53" si="12">SUM(C47:C52)</f>
        <v>37</v>
      </c>
      <c r="D53" s="107">
        <f t="shared" si="12"/>
        <v>20272</v>
      </c>
      <c r="E53" s="107">
        <f t="shared" si="12"/>
        <v>7044</v>
      </c>
      <c r="F53" s="107">
        <f t="shared" si="12"/>
        <v>310</v>
      </c>
      <c r="G53" s="107">
        <f t="shared" si="12"/>
        <v>260</v>
      </c>
      <c r="H53" s="107">
        <f t="shared" si="12"/>
        <v>310</v>
      </c>
      <c r="I53" s="107">
        <f t="shared" si="12"/>
        <v>2840</v>
      </c>
      <c r="J53" s="107">
        <f t="shared" si="12"/>
        <v>4076</v>
      </c>
      <c r="K53" s="107">
        <f t="shared" si="12"/>
        <v>233</v>
      </c>
      <c r="L53" s="107">
        <f t="shared" si="12"/>
        <v>220</v>
      </c>
      <c r="M53" s="107">
        <f t="shared" si="12"/>
        <v>233</v>
      </c>
      <c r="N53" s="107">
        <f t="shared" si="12"/>
        <v>1127</v>
      </c>
      <c r="O53" s="107">
        <f t="shared" si="12"/>
        <v>5973</v>
      </c>
      <c r="P53" s="107">
        <f t="shared" si="12"/>
        <v>1777</v>
      </c>
      <c r="Q53" s="107">
        <f t="shared" si="12"/>
        <v>1740</v>
      </c>
      <c r="R53" s="107">
        <f t="shared" si="12"/>
        <v>2129</v>
      </c>
      <c r="S53" s="107">
        <f t="shared" si="12"/>
        <v>7785</v>
      </c>
      <c r="T53" s="107">
        <f t="shared" si="12"/>
        <v>0</v>
      </c>
      <c r="U53" s="107">
        <f t="shared" si="12"/>
        <v>0</v>
      </c>
      <c r="V53" s="107">
        <f t="shared" si="12"/>
        <v>0</v>
      </c>
      <c r="W53" s="107">
        <f t="shared" si="12"/>
        <v>0</v>
      </c>
      <c r="X53" s="107">
        <f t="shared" si="12"/>
        <v>0</v>
      </c>
      <c r="Y53" s="107">
        <f t="shared" si="12"/>
        <v>0</v>
      </c>
      <c r="Z53" s="107">
        <f t="shared" si="12"/>
        <v>0</v>
      </c>
      <c r="AA53" s="107">
        <f t="shared" si="12"/>
        <v>0</v>
      </c>
      <c r="AB53" s="107">
        <f t="shared" si="12"/>
        <v>0</v>
      </c>
      <c r="AC53" s="107">
        <f t="shared" si="12"/>
        <v>0</v>
      </c>
      <c r="AD53" s="107">
        <f t="shared" si="12"/>
        <v>0</v>
      </c>
      <c r="AE53" s="107">
        <f t="shared" si="12"/>
        <v>0</v>
      </c>
      <c r="AF53" s="107">
        <f t="shared" si="12"/>
        <v>120</v>
      </c>
      <c r="AG53" s="107">
        <f t="shared" si="12"/>
        <v>123</v>
      </c>
      <c r="AH53" s="107">
        <f t="shared" si="12"/>
        <v>163</v>
      </c>
      <c r="AI53" s="107">
        <f t="shared" si="12"/>
        <v>230</v>
      </c>
      <c r="AJ53" s="107">
        <f t="shared" si="12"/>
        <v>18064</v>
      </c>
      <c r="AK53" s="106">
        <f t="shared" si="8"/>
        <v>89.108129439621152</v>
      </c>
      <c r="AL53" s="107">
        <f>SUM(AL47:AL52)</f>
        <v>6259</v>
      </c>
      <c r="AM53" s="106">
        <f t="shared" si="9"/>
        <v>88.8557637705849</v>
      </c>
      <c r="AN53" s="99">
        <v>82.52</v>
      </c>
    </row>
    <row r="54" spans="1:40" x14ac:dyDescent="0.25">
      <c r="A54" s="104">
        <v>1</v>
      </c>
      <c r="B54" s="104" t="s">
        <v>432</v>
      </c>
      <c r="C54" s="104">
        <v>3</v>
      </c>
      <c r="D54" s="104">
        <v>1952</v>
      </c>
      <c r="E54" s="104">
        <v>614</v>
      </c>
      <c r="F54" s="104">
        <v>68</v>
      </c>
      <c r="G54" s="104">
        <v>67</v>
      </c>
      <c r="H54" s="104">
        <v>67</v>
      </c>
      <c r="I54" s="104">
        <v>220</v>
      </c>
      <c r="J54" s="104">
        <v>856</v>
      </c>
      <c r="K54" s="104">
        <v>0</v>
      </c>
      <c r="L54" s="104">
        <v>0</v>
      </c>
      <c r="M54" s="104">
        <v>0</v>
      </c>
      <c r="N54" s="104">
        <v>0</v>
      </c>
      <c r="O54" s="104">
        <v>0</v>
      </c>
      <c r="P54" s="104">
        <v>187</v>
      </c>
      <c r="Q54" s="104">
        <v>187</v>
      </c>
      <c r="R54" s="104">
        <v>381</v>
      </c>
      <c r="S54" s="104">
        <v>1031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4">
        <v>0</v>
      </c>
      <c r="AF54" s="104">
        <v>0</v>
      </c>
      <c r="AG54" s="104">
        <v>0</v>
      </c>
      <c r="AH54" s="104">
        <v>0</v>
      </c>
      <c r="AI54" s="104">
        <v>0</v>
      </c>
      <c r="AJ54" s="104">
        <v>1887</v>
      </c>
      <c r="AK54" s="104" t="s">
        <v>431</v>
      </c>
      <c r="AL54" s="104">
        <v>601</v>
      </c>
      <c r="AM54" s="109">
        <v>97.882736156351797</v>
      </c>
    </row>
    <row r="55" spans="1:40" x14ac:dyDescent="0.25">
      <c r="A55" s="104">
        <v>2</v>
      </c>
      <c r="B55" s="104" t="s">
        <v>430</v>
      </c>
      <c r="C55" s="104">
        <v>4</v>
      </c>
      <c r="D55" s="104">
        <v>2136</v>
      </c>
      <c r="E55" s="104">
        <v>661</v>
      </c>
      <c r="F55" s="104">
        <v>25</v>
      </c>
      <c r="G55" s="104">
        <v>23</v>
      </c>
      <c r="H55" s="104">
        <v>23</v>
      </c>
      <c r="I55" s="104">
        <v>98</v>
      </c>
      <c r="J55" s="104">
        <v>413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436</v>
      </c>
      <c r="Q55" s="104" t="s">
        <v>429</v>
      </c>
      <c r="R55" s="104">
        <v>460</v>
      </c>
      <c r="S55" s="104">
        <v>1756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2009</v>
      </c>
      <c r="AK55" s="104" t="s">
        <v>428</v>
      </c>
      <c r="AL55" s="104">
        <v>629</v>
      </c>
      <c r="AM55" s="109">
        <v>95.158850226928891</v>
      </c>
    </row>
    <row r="56" spans="1:40" x14ac:dyDescent="0.25">
      <c r="A56" s="104">
        <v>3</v>
      </c>
      <c r="B56" s="104" t="s">
        <v>427</v>
      </c>
      <c r="C56" s="104">
        <v>4</v>
      </c>
      <c r="D56" s="104">
        <v>3597</v>
      </c>
      <c r="E56" s="104">
        <v>939</v>
      </c>
      <c r="F56" s="104">
        <v>28</v>
      </c>
      <c r="G56" s="104">
        <v>25</v>
      </c>
      <c r="H56" s="104">
        <v>25</v>
      </c>
      <c r="I56" s="104">
        <v>126</v>
      </c>
      <c r="J56" s="104">
        <v>327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629</v>
      </c>
      <c r="Q56" s="104">
        <v>629</v>
      </c>
      <c r="R56" s="104">
        <v>772</v>
      </c>
      <c r="S56" s="104">
        <v>3133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04">
        <v>0</v>
      </c>
      <c r="Z56" s="104">
        <v>0</v>
      </c>
      <c r="AA56" s="104">
        <v>0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3460</v>
      </c>
      <c r="AK56" s="104" t="s">
        <v>426</v>
      </c>
      <c r="AL56" s="104">
        <v>898</v>
      </c>
      <c r="AM56" s="109">
        <v>95.633652822151234</v>
      </c>
    </row>
    <row r="57" spans="1:40" x14ac:dyDescent="0.25">
      <c r="A57" s="104">
        <v>4</v>
      </c>
      <c r="B57" s="104" t="s">
        <v>425</v>
      </c>
      <c r="C57" s="104">
        <v>5</v>
      </c>
      <c r="D57" s="104">
        <v>6095</v>
      </c>
      <c r="E57" s="104">
        <v>1525</v>
      </c>
      <c r="F57" s="104">
        <v>10</v>
      </c>
      <c r="G57" s="104">
        <v>13</v>
      </c>
      <c r="H57" s="104">
        <v>13</v>
      </c>
      <c r="I57" s="104">
        <v>56</v>
      </c>
      <c r="J57" s="104">
        <v>198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778</v>
      </c>
      <c r="Q57" s="104">
        <v>778</v>
      </c>
      <c r="R57" s="104">
        <v>1341</v>
      </c>
      <c r="S57" s="104">
        <v>5409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104">
        <v>0</v>
      </c>
      <c r="AH57" s="104">
        <v>0</v>
      </c>
      <c r="AI57" s="104">
        <v>0</v>
      </c>
      <c r="AJ57" s="104">
        <v>5607</v>
      </c>
      <c r="AK57" s="104" t="s">
        <v>424</v>
      </c>
      <c r="AL57" s="104">
        <v>1397</v>
      </c>
      <c r="AM57" s="109">
        <v>91.606557377049185</v>
      </c>
    </row>
    <row r="58" spans="1:40" x14ac:dyDescent="0.25">
      <c r="A58" s="103">
        <v>4</v>
      </c>
      <c r="B58" s="103" t="s">
        <v>423</v>
      </c>
      <c r="C58" s="103">
        <f t="shared" ref="C58:AJ58" si="13">SUM(C54:C57)</f>
        <v>16</v>
      </c>
      <c r="D58" s="103">
        <f t="shared" si="13"/>
        <v>13780</v>
      </c>
      <c r="E58" s="103">
        <f t="shared" si="13"/>
        <v>3739</v>
      </c>
      <c r="F58" s="103">
        <f t="shared" si="13"/>
        <v>131</v>
      </c>
      <c r="G58" s="103">
        <f t="shared" si="13"/>
        <v>128</v>
      </c>
      <c r="H58" s="103">
        <f t="shared" si="13"/>
        <v>128</v>
      </c>
      <c r="I58" s="103">
        <f t="shared" si="13"/>
        <v>500</v>
      </c>
      <c r="J58" s="103">
        <f t="shared" si="13"/>
        <v>1794</v>
      </c>
      <c r="K58" s="103">
        <f t="shared" si="13"/>
        <v>0</v>
      </c>
      <c r="L58" s="103">
        <f t="shared" si="13"/>
        <v>0</v>
      </c>
      <c r="M58" s="103">
        <f t="shared" si="13"/>
        <v>0</v>
      </c>
      <c r="N58" s="103">
        <f t="shared" si="13"/>
        <v>0</v>
      </c>
      <c r="O58" s="103">
        <f t="shared" si="13"/>
        <v>0</v>
      </c>
      <c r="P58" s="103">
        <f t="shared" si="13"/>
        <v>2030</v>
      </c>
      <c r="Q58" s="103">
        <f t="shared" si="13"/>
        <v>1594</v>
      </c>
      <c r="R58" s="103">
        <f t="shared" si="13"/>
        <v>2954</v>
      </c>
      <c r="S58" s="103">
        <f t="shared" si="13"/>
        <v>11329</v>
      </c>
      <c r="T58" s="103">
        <f t="shared" si="13"/>
        <v>0</v>
      </c>
      <c r="U58" s="103">
        <f t="shared" si="13"/>
        <v>0</v>
      </c>
      <c r="V58" s="103">
        <f t="shared" si="13"/>
        <v>0</v>
      </c>
      <c r="W58" s="103">
        <f t="shared" si="13"/>
        <v>0</v>
      </c>
      <c r="X58" s="103">
        <f t="shared" si="13"/>
        <v>0</v>
      </c>
      <c r="Y58" s="103">
        <f t="shared" si="13"/>
        <v>0</v>
      </c>
      <c r="Z58" s="103">
        <f t="shared" si="13"/>
        <v>0</v>
      </c>
      <c r="AA58" s="103">
        <f t="shared" si="13"/>
        <v>0</v>
      </c>
      <c r="AB58" s="103">
        <f t="shared" si="13"/>
        <v>0</v>
      </c>
      <c r="AC58" s="103">
        <f t="shared" si="13"/>
        <v>0</v>
      </c>
      <c r="AD58" s="103">
        <f t="shared" si="13"/>
        <v>0</v>
      </c>
      <c r="AE58" s="103">
        <f t="shared" si="13"/>
        <v>0</v>
      </c>
      <c r="AF58" s="103">
        <f t="shared" si="13"/>
        <v>0</v>
      </c>
      <c r="AG58" s="103">
        <f t="shared" si="13"/>
        <v>0</v>
      </c>
      <c r="AH58" s="103">
        <f t="shared" si="13"/>
        <v>0</v>
      </c>
      <c r="AI58" s="103">
        <f t="shared" si="13"/>
        <v>0</v>
      </c>
      <c r="AJ58" s="103">
        <f t="shared" si="13"/>
        <v>12963</v>
      </c>
      <c r="AK58" s="200">
        <f>AJ58/D58*100</f>
        <v>94.071117561683607</v>
      </c>
      <c r="AL58" s="103">
        <f>SUM(AL54:AL57)</f>
        <v>3525</v>
      </c>
      <c r="AM58" s="200">
        <f>AL58/E58*100</f>
        <v>94.27654453062317</v>
      </c>
      <c r="AN58" s="99">
        <v>78.66</v>
      </c>
    </row>
    <row r="59" spans="1:40" x14ac:dyDescent="0.25">
      <c r="A59" s="158">
        <v>1</v>
      </c>
      <c r="B59" s="182" t="s">
        <v>422</v>
      </c>
      <c r="C59" s="182">
        <v>5</v>
      </c>
      <c r="D59" s="178">
        <v>8140</v>
      </c>
      <c r="E59" s="178">
        <v>2542</v>
      </c>
      <c r="F59" s="178">
        <v>10</v>
      </c>
      <c r="G59" s="178">
        <v>7</v>
      </c>
      <c r="H59" s="178">
        <v>7</v>
      </c>
      <c r="I59" s="178">
        <v>105</v>
      </c>
      <c r="J59" s="178">
        <v>525</v>
      </c>
      <c r="K59" s="178">
        <v>0</v>
      </c>
      <c r="L59" s="178">
        <v>0</v>
      </c>
      <c r="M59" s="178">
        <v>0</v>
      </c>
      <c r="N59" s="178">
        <v>0</v>
      </c>
      <c r="O59" s="178">
        <v>0</v>
      </c>
      <c r="P59" s="182">
        <v>1326</v>
      </c>
      <c r="Q59" s="178">
        <v>1326</v>
      </c>
      <c r="R59" s="178">
        <v>2176</v>
      </c>
      <c r="S59" s="178">
        <v>6550</v>
      </c>
      <c r="T59" s="158">
        <v>0</v>
      </c>
      <c r="U59" s="158">
        <v>0</v>
      </c>
      <c r="V59" s="158">
        <v>0</v>
      </c>
      <c r="W59" s="158">
        <v>0</v>
      </c>
      <c r="X59" s="158">
        <v>0</v>
      </c>
      <c r="Y59" s="158">
        <v>0</v>
      </c>
      <c r="Z59" s="158">
        <v>0</v>
      </c>
      <c r="AA59" s="158">
        <v>0</v>
      </c>
      <c r="AB59" s="158">
        <v>0</v>
      </c>
      <c r="AC59" s="158">
        <v>0</v>
      </c>
      <c r="AD59" s="158">
        <v>0</v>
      </c>
      <c r="AE59" s="158">
        <v>0</v>
      </c>
      <c r="AF59" s="182">
        <v>0</v>
      </c>
      <c r="AG59" s="182">
        <v>0</v>
      </c>
      <c r="AH59" s="182">
        <v>0</v>
      </c>
      <c r="AI59" s="178">
        <v>0</v>
      </c>
      <c r="AJ59" s="158">
        <v>7075</v>
      </c>
      <c r="AK59" s="108">
        <v>86.916461916461913</v>
      </c>
      <c r="AL59" s="158">
        <v>2281</v>
      </c>
      <c r="AM59" s="108">
        <v>89.732494099134541</v>
      </c>
    </row>
    <row r="60" spans="1:40" x14ac:dyDescent="0.25">
      <c r="A60" s="158">
        <v>2</v>
      </c>
      <c r="B60" s="182" t="s">
        <v>421</v>
      </c>
      <c r="C60" s="182">
        <v>3</v>
      </c>
      <c r="D60" s="178">
        <v>2057</v>
      </c>
      <c r="E60" s="178">
        <v>460</v>
      </c>
      <c r="F60" s="178">
        <v>6</v>
      </c>
      <c r="G60" s="178">
        <v>5</v>
      </c>
      <c r="H60" s="178">
        <v>5</v>
      </c>
      <c r="I60" s="178">
        <v>75</v>
      </c>
      <c r="J60" s="178">
        <v>375</v>
      </c>
      <c r="K60" s="178">
        <v>0</v>
      </c>
      <c r="L60" s="178">
        <v>0</v>
      </c>
      <c r="M60" s="178">
        <v>0</v>
      </c>
      <c r="N60" s="178">
        <v>0</v>
      </c>
      <c r="O60" s="178">
        <v>0</v>
      </c>
      <c r="P60" s="182">
        <v>353</v>
      </c>
      <c r="Q60" s="178">
        <v>353</v>
      </c>
      <c r="R60" s="178">
        <v>353</v>
      </c>
      <c r="S60" s="178">
        <v>1496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82">
        <v>0</v>
      </c>
      <c r="AG60" s="182">
        <v>0</v>
      </c>
      <c r="AH60" s="182">
        <v>0</v>
      </c>
      <c r="AI60" s="178">
        <v>0</v>
      </c>
      <c r="AJ60" s="158">
        <v>1871</v>
      </c>
      <c r="AK60" s="108">
        <v>90.95770539620807</v>
      </c>
      <c r="AL60" s="158">
        <v>428</v>
      </c>
      <c r="AM60" s="108">
        <v>93.043478260869563</v>
      </c>
    </row>
    <row r="61" spans="1:40" x14ac:dyDescent="0.25">
      <c r="A61" s="158">
        <v>3</v>
      </c>
      <c r="B61" s="182" t="s">
        <v>420</v>
      </c>
      <c r="C61" s="182">
        <v>2</v>
      </c>
      <c r="D61" s="178">
        <v>1818</v>
      </c>
      <c r="E61" s="178">
        <v>417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12</v>
      </c>
      <c r="L61" s="178">
        <v>11</v>
      </c>
      <c r="M61" s="178">
        <v>11</v>
      </c>
      <c r="N61" s="178">
        <v>165</v>
      </c>
      <c r="O61" s="178">
        <v>825</v>
      </c>
      <c r="P61" s="178">
        <v>142</v>
      </c>
      <c r="Q61" s="178">
        <v>142</v>
      </c>
      <c r="R61" s="178">
        <v>142</v>
      </c>
      <c r="S61" s="178">
        <v>710</v>
      </c>
      <c r="T61" s="158">
        <v>0</v>
      </c>
      <c r="U61" s="158">
        <v>0</v>
      </c>
      <c r="V61" s="158">
        <v>0</v>
      </c>
      <c r="W61" s="158">
        <v>0</v>
      </c>
      <c r="X61" s="158">
        <v>0</v>
      </c>
      <c r="Y61" s="158">
        <v>0</v>
      </c>
      <c r="Z61" s="158">
        <v>0</v>
      </c>
      <c r="AA61" s="158">
        <v>0</v>
      </c>
      <c r="AB61" s="158">
        <v>0</v>
      </c>
      <c r="AC61" s="158">
        <v>0</v>
      </c>
      <c r="AD61" s="158">
        <v>0</v>
      </c>
      <c r="AE61" s="158">
        <v>0</v>
      </c>
      <c r="AF61" s="182">
        <v>0</v>
      </c>
      <c r="AG61" s="182">
        <v>0</v>
      </c>
      <c r="AH61" s="182">
        <v>0</v>
      </c>
      <c r="AI61" s="178">
        <v>0</v>
      </c>
      <c r="AJ61" s="158">
        <v>1535</v>
      </c>
      <c r="AK61" s="108">
        <v>84.433443344334435</v>
      </c>
      <c r="AL61" s="158">
        <v>307</v>
      </c>
      <c r="AM61" s="108">
        <v>73.621103117505996</v>
      </c>
    </row>
    <row r="62" spans="1:40" x14ac:dyDescent="0.25">
      <c r="A62" s="158">
        <v>4</v>
      </c>
      <c r="B62" s="182" t="s">
        <v>419</v>
      </c>
      <c r="C62" s="182">
        <v>4</v>
      </c>
      <c r="D62" s="178">
        <v>2989</v>
      </c>
      <c r="E62" s="178">
        <v>936</v>
      </c>
      <c r="F62" s="178">
        <v>0</v>
      </c>
      <c r="G62" s="178">
        <v>0</v>
      </c>
      <c r="H62" s="178">
        <v>0</v>
      </c>
      <c r="I62" s="178">
        <v>0</v>
      </c>
      <c r="J62" s="178">
        <v>0</v>
      </c>
      <c r="K62" s="178">
        <v>55</v>
      </c>
      <c r="L62" s="178">
        <v>53</v>
      </c>
      <c r="M62" s="178">
        <v>53</v>
      </c>
      <c r="N62" s="178">
        <v>795</v>
      </c>
      <c r="O62" s="178">
        <v>2530</v>
      </c>
      <c r="P62" s="178">
        <v>0</v>
      </c>
      <c r="Q62" s="178">
        <v>0</v>
      </c>
      <c r="R62" s="178">
        <v>0</v>
      </c>
      <c r="S62" s="178">
        <v>0</v>
      </c>
      <c r="T62" s="158">
        <v>0</v>
      </c>
      <c r="U62" s="158">
        <v>0</v>
      </c>
      <c r="V62" s="158">
        <v>0</v>
      </c>
      <c r="W62" s="158">
        <v>0</v>
      </c>
      <c r="X62" s="158">
        <v>0</v>
      </c>
      <c r="Y62" s="158">
        <v>0</v>
      </c>
      <c r="Z62" s="158">
        <v>0</v>
      </c>
      <c r="AA62" s="158">
        <v>0</v>
      </c>
      <c r="AB62" s="158">
        <v>0</v>
      </c>
      <c r="AC62" s="158">
        <v>0</v>
      </c>
      <c r="AD62" s="158">
        <v>0</v>
      </c>
      <c r="AE62" s="158">
        <v>0</v>
      </c>
      <c r="AF62" s="182">
        <v>0</v>
      </c>
      <c r="AG62" s="182">
        <v>0</v>
      </c>
      <c r="AH62" s="182">
        <v>0</v>
      </c>
      <c r="AI62" s="178">
        <v>0</v>
      </c>
      <c r="AJ62" s="158">
        <v>2530</v>
      </c>
      <c r="AK62" s="108">
        <v>84.643693542990974</v>
      </c>
      <c r="AL62" s="158">
        <v>795</v>
      </c>
      <c r="AM62" s="108">
        <v>84.935897435897431</v>
      </c>
    </row>
    <row r="63" spans="1:40" x14ac:dyDescent="0.25">
      <c r="A63" s="158">
        <v>5</v>
      </c>
      <c r="B63" s="182" t="s">
        <v>418</v>
      </c>
      <c r="C63" s="182">
        <v>1</v>
      </c>
      <c r="D63" s="178">
        <v>1067</v>
      </c>
      <c r="E63" s="178">
        <v>217</v>
      </c>
      <c r="F63" s="178">
        <v>0</v>
      </c>
      <c r="G63" s="178">
        <v>0</v>
      </c>
      <c r="H63" s="178">
        <v>0</v>
      </c>
      <c r="I63" s="178">
        <v>0</v>
      </c>
      <c r="J63" s="178">
        <v>0</v>
      </c>
      <c r="K63" s="178">
        <v>22</v>
      </c>
      <c r="L63" s="178">
        <v>20</v>
      </c>
      <c r="M63" s="178">
        <v>20</v>
      </c>
      <c r="N63" s="178">
        <v>190</v>
      </c>
      <c r="O63" s="178">
        <v>1010</v>
      </c>
      <c r="P63" s="178">
        <v>0</v>
      </c>
      <c r="Q63" s="178">
        <v>0</v>
      </c>
      <c r="R63" s="178">
        <v>0</v>
      </c>
      <c r="S63" s="178">
        <v>0</v>
      </c>
      <c r="T63" s="158">
        <v>0</v>
      </c>
      <c r="U63" s="158">
        <v>0</v>
      </c>
      <c r="V63" s="158">
        <v>0</v>
      </c>
      <c r="W63" s="158">
        <v>0</v>
      </c>
      <c r="X63" s="158">
        <v>0</v>
      </c>
      <c r="Y63" s="158">
        <v>0</v>
      </c>
      <c r="Z63" s="158">
        <v>0</v>
      </c>
      <c r="AA63" s="158">
        <v>0</v>
      </c>
      <c r="AB63" s="158">
        <v>0</v>
      </c>
      <c r="AC63" s="158">
        <v>0</v>
      </c>
      <c r="AD63" s="158">
        <v>0</v>
      </c>
      <c r="AE63" s="158">
        <v>0</v>
      </c>
      <c r="AF63" s="182">
        <v>0</v>
      </c>
      <c r="AG63" s="182">
        <v>0</v>
      </c>
      <c r="AH63" s="182">
        <v>0</v>
      </c>
      <c r="AI63" s="178">
        <v>0</v>
      </c>
      <c r="AJ63" s="158">
        <v>1010</v>
      </c>
      <c r="AK63" s="108">
        <v>87.63</v>
      </c>
      <c r="AL63" s="158">
        <v>190</v>
      </c>
      <c r="AM63" s="108">
        <v>87.557603686635943</v>
      </c>
    </row>
    <row r="64" spans="1:40" x14ac:dyDescent="0.25">
      <c r="A64" s="107"/>
      <c r="B64" s="107" t="s">
        <v>417</v>
      </c>
      <c r="C64" s="107">
        <f t="shared" ref="C64:AJ64" si="14">SUM(C59:C63)</f>
        <v>15</v>
      </c>
      <c r="D64" s="107">
        <f t="shared" si="14"/>
        <v>16071</v>
      </c>
      <c r="E64" s="107">
        <f t="shared" si="14"/>
        <v>4572</v>
      </c>
      <c r="F64" s="107">
        <f t="shared" si="14"/>
        <v>16</v>
      </c>
      <c r="G64" s="107">
        <f t="shared" si="14"/>
        <v>12</v>
      </c>
      <c r="H64" s="107">
        <f t="shared" si="14"/>
        <v>12</v>
      </c>
      <c r="I64" s="107">
        <f t="shared" si="14"/>
        <v>180</v>
      </c>
      <c r="J64" s="107">
        <f t="shared" si="14"/>
        <v>900</v>
      </c>
      <c r="K64" s="107">
        <f t="shared" si="14"/>
        <v>89</v>
      </c>
      <c r="L64" s="107">
        <f t="shared" si="14"/>
        <v>84</v>
      </c>
      <c r="M64" s="107">
        <f t="shared" si="14"/>
        <v>84</v>
      </c>
      <c r="N64" s="107">
        <f t="shared" si="14"/>
        <v>1150</v>
      </c>
      <c r="O64" s="107">
        <f t="shared" si="14"/>
        <v>4365</v>
      </c>
      <c r="P64" s="107">
        <f t="shared" si="14"/>
        <v>1821</v>
      </c>
      <c r="Q64" s="107">
        <f t="shared" si="14"/>
        <v>1821</v>
      </c>
      <c r="R64" s="107">
        <f t="shared" si="14"/>
        <v>2671</v>
      </c>
      <c r="S64" s="107">
        <f t="shared" si="14"/>
        <v>8756</v>
      </c>
      <c r="T64" s="107">
        <f t="shared" si="14"/>
        <v>0</v>
      </c>
      <c r="U64" s="107">
        <f t="shared" si="14"/>
        <v>0</v>
      </c>
      <c r="V64" s="107">
        <f t="shared" si="14"/>
        <v>0</v>
      </c>
      <c r="W64" s="107">
        <f t="shared" si="14"/>
        <v>0</v>
      </c>
      <c r="X64" s="107">
        <f t="shared" si="14"/>
        <v>0</v>
      </c>
      <c r="Y64" s="107">
        <f t="shared" si="14"/>
        <v>0</v>
      </c>
      <c r="Z64" s="107">
        <f t="shared" si="14"/>
        <v>0</v>
      </c>
      <c r="AA64" s="107">
        <f t="shared" si="14"/>
        <v>0</v>
      </c>
      <c r="AB64" s="107">
        <f t="shared" si="14"/>
        <v>0</v>
      </c>
      <c r="AC64" s="107">
        <f t="shared" si="14"/>
        <v>0</v>
      </c>
      <c r="AD64" s="107">
        <f t="shared" si="14"/>
        <v>0</v>
      </c>
      <c r="AE64" s="107">
        <f t="shared" si="14"/>
        <v>0</v>
      </c>
      <c r="AF64" s="107">
        <f t="shared" si="14"/>
        <v>0</v>
      </c>
      <c r="AG64" s="107">
        <f t="shared" si="14"/>
        <v>0</v>
      </c>
      <c r="AH64" s="107">
        <f t="shared" si="14"/>
        <v>0</v>
      </c>
      <c r="AI64" s="107">
        <f t="shared" si="14"/>
        <v>0</v>
      </c>
      <c r="AJ64" s="107">
        <f t="shared" si="14"/>
        <v>14021</v>
      </c>
      <c r="AK64" s="106">
        <v>87.63</v>
      </c>
      <c r="AL64" s="107">
        <f>SUM(AL59:AL63)</f>
        <v>4001</v>
      </c>
      <c r="AM64" s="106">
        <v>87.557603686635943</v>
      </c>
      <c r="AN64" s="99">
        <v>86.48</v>
      </c>
    </row>
    <row r="65" spans="1:40" x14ac:dyDescent="0.25">
      <c r="A65" s="104">
        <v>1</v>
      </c>
      <c r="B65" s="104" t="s">
        <v>416</v>
      </c>
      <c r="C65" s="104"/>
      <c r="D65" s="164">
        <v>2138</v>
      </c>
      <c r="E65" s="164">
        <v>584</v>
      </c>
      <c r="F65" s="198">
        <v>28</v>
      </c>
      <c r="G65" s="198">
        <v>13</v>
      </c>
      <c r="H65" s="198">
        <v>13</v>
      </c>
      <c r="I65" s="199">
        <v>105</v>
      </c>
      <c r="J65" s="197">
        <v>90</v>
      </c>
      <c r="K65" s="197">
        <v>0</v>
      </c>
      <c r="L65" s="197">
        <v>0</v>
      </c>
      <c r="M65" s="197">
        <v>0</v>
      </c>
      <c r="N65" s="197">
        <v>0</v>
      </c>
      <c r="O65" s="198">
        <v>0</v>
      </c>
      <c r="P65" s="197">
        <v>285</v>
      </c>
      <c r="Q65" s="197">
        <v>285</v>
      </c>
      <c r="R65" s="197">
        <v>350</v>
      </c>
      <c r="S65" s="197">
        <v>1555</v>
      </c>
      <c r="T65" s="196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64">
        <f t="shared" ref="AJ65:AJ70" si="15">J65+O65+S65+W65+AA65+AE65+AI65</f>
        <v>1645</v>
      </c>
      <c r="AK65" s="108">
        <f t="shared" ref="AK65:AK83" si="16">AJ65/D65*100</f>
        <v>76.94106641721234</v>
      </c>
      <c r="AL65" s="163">
        <f t="shared" ref="AL65:AL70" si="17">AH65+AD65+Z65+V65+R65+N65+I65</f>
        <v>455</v>
      </c>
      <c r="AM65" s="108">
        <f t="shared" ref="AM65:AM83" si="18">AL65/E65*100</f>
        <v>77.910958904109577</v>
      </c>
    </row>
    <row r="66" spans="1:40" x14ac:dyDescent="0.25">
      <c r="A66" s="104">
        <v>2</v>
      </c>
      <c r="B66" s="104" t="s">
        <v>415</v>
      </c>
      <c r="C66" s="104"/>
      <c r="D66" s="192">
        <v>1740</v>
      </c>
      <c r="E66" s="192">
        <v>600</v>
      </c>
      <c r="F66" s="191">
        <v>22</v>
      </c>
      <c r="G66" s="191">
        <v>32</v>
      </c>
      <c r="H66" s="191">
        <v>20</v>
      </c>
      <c r="I66" s="189">
        <v>50</v>
      </c>
      <c r="J66" s="189">
        <v>250</v>
      </c>
      <c r="K66" s="189"/>
      <c r="L66" s="189"/>
      <c r="M66" s="189"/>
      <c r="N66" s="189"/>
      <c r="O66" s="104"/>
      <c r="P66" s="189">
        <v>328</v>
      </c>
      <c r="Q66" s="189">
        <v>328</v>
      </c>
      <c r="R66" s="189">
        <v>498</v>
      </c>
      <c r="S66" s="189">
        <v>1350</v>
      </c>
      <c r="T66" s="104"/>
      <c r="U66" s="194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64">
        <f t="shared" si="15"/>
        <v>1600</v>
      </c>
      <c r="AK66" s="108">
        <f t="shared" si="16"/>
        <v>91.954022988505741</v>
      </c>
      <c r="AL66" s="163">
        <f t="shared" si="17"/>
        <v>548</v>
      </c>
      <c r="AM66" s="108">
        <f t="shared" si="18"/>
        <v>91.333333333333329</v>
      </c>
    </row>
    <row r="67" spans="1:40" x14ac:dyDescent="0.25">
      <c r="A67" s="104">
        <v>3</v>
      </c>
      <c r="B67" s="104" t="s">
        <v>414</v>
      </c>
      <c r="C67" s="104"/>
      <c r="D67" s="192">
        <v>3647</v>
      </c>
      <c r="E67" s="192">
        <v>1615</v>
      </c>
      <c r="F67" s="104">
        <v>121</v>
      </c>
      <c r="G67" s="104">
        <v>49</v>
      </c>
      <c r="H67" s="104">
        <v>49</v>
      </c>
      <c r="I67" s="190">
        <v>245</v>
      </c>
      <c r="J67" s="189">
        <v>1225</v>
      </c>
      <c r="K67" s="189"/>
      <c r="L67" s="189"/>
      <c r="M67" s="189"/>
      <c r="N67" s="189"/>
      <c r="O67" s="104"/>
      <c r="P67" s="193">
        <v>780</v>
      </c>
      <c r="Q67" s="193">
        <v>780</v>
      </c>
      <c r="R67" s="189">
        <v>1250</v>
      </c>
      <c r="S67" s="189">
        <v>2010</v>
      </c>
      <c r="T67" s="104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04">
        <v>1</v>
      </c>
      <c r="AG67" s="104">
        <v>1</v>
      </c>
      <c r="AH67" s="189">
        <v>60</v>
      </c>
      <c r="AI67" s="189">
        <v>240</v>
      </c>
      <c r="AJ67" s="164">
        <f t="shared" si="15"/>
        <v>3475</v>
      </c>
      <c r="AK67" s="108">
        <f t="shared" si="16"/>
        <v>95.283794899917737</v>
      </c>
      <c r="AL67" s="163">
        <f t="shared" si="17"/>
        <v>1555</v>
      </c>
      <c r="AM67" s="108">
        <f t="shared" si="18"/>
        <v>96.284829721362229</v>
      </c>
    </row>
    <row r="68" spans="1:40" x14ac:dyDescent="0.25">
      <c r="A68" s="104">
        <v>4</v>
      </c>
      <c r="B68" s="104" t="s">
        <v>413</v>
      </c>
      <c r="C68" s="104"/>
      <c r="D68" s="192">
        <v>2275</v>
      </c>
      <c r="E68" s="192">
        <v>603</v>
      </c>
      <c r="F68" s="191">
        <v>53</v>
      </c>
      <c r="G68" s="191">
        <v>31</v>
      </c>
      <c r="H68" s="191">
        <v>31</v>
      </c>
      <c r="I68" s="189">
        <v>46</v>
      </c>
      <c r="J68" s="189">
        <v>230</v>
      </c>
      <c r="K68" s="189"/>
      <c r="L68" s="189"/>
      <c r="M68" s="189"/>
      <c r="N68" s="189"/>
      <c r="O68" s="104"/>
      <c r="P68" s="189">
        <v>385</v>
      </c>
      <c r="Q68" s="189">
        <v>395</v>
      </c>
      <c r="R68" s="189">
        <v>502</v>
      </c>
      <c r="S68" s="189">
        <v>1820</v>
      </c>
      <c r="T68" s="104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64">
        <f t="shared" si="15"/>
        <v>2050</v>
      </c>
      <c r="AK68" s="108">
        <f t="shared" si="16"/>
        <v>90.109890109890117</v>
      </c>
      <c r="AL68" s="163">
        <f t="shared" si="17"/>
        <v>548</v>
      </c>
      <c r="AM68" s="108">
        <f t="shared" si="18"/>
        <v>90.878938640132674</v>
      </c>
    </row>
    <row r="69" spans="1:40" x14ac:dyDescent="0.25">
      <c r="A69" s="104">
        <v>5</v>
      </c>
      <c r="B69" s="104" t="s">
        <v>412</v>
      </c>
      <c r="C69" s="104"/>
      <c r="D69" s="192">
        <v>2067</v>
      </c>
      <c r="E69" s="192">
        <v>601</v>
      </c>
      <c r="F69" s="191">
        <v>44</v>
      </c>
      <c r="G69" s="191">
        <v>24</v>
      </c>
      <c r="H69" s="191">
        <v>24</v>
      </c>
      <c r="I69" s="189">
        <v>31</v>
      </c>
      <c r="J69" s="189">
        <v>155</v>
      </c>
      <c r="K69" s="189"/>
      <c r="L69" s="189"/>
      <c r="M69" s="189"/>
      <c r="N69" s="189"/>
      <c r="O69" s="104"/>
      <c r="P69" s="189">
        <v>310</v>
      </c>
      <c r="Q69" s="189">
        <v>310</v>
      </c>
      <c r="R69" s="189">
        <v>530</v>
      </c>
      <c r="S69" s="189">
        <v>1766</v>
      </c>
      <c r="T69" s="104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64">
        <f t="shared" si="15"/>
        <v>1921</v>
      </c>
      <c r="AK69" s="108">
        <f t="shared" si="16"/>
        <v>92.936623125302376</v>
      </c>
      <c r="AL69" s="163">
        <f t="shared" si="17"/>
        <v>561</v>
      </c>
      <c r="AM69" s="108">
        <f t="shared" si="18"/>
        <v>93.34442595673876</v>
      </c>
    </row>
    <row r="70" spans="1:40" x14ac:dyDescent="0.25">
      <c r="A70" s="104">
        <v>6</v>
      </c>
      <c r="B70" s="104" t="s">
        <v>411</v>
      </c>
      <c r="C70" s="104"/>
      <c r="D70" s="192">
        <v>1160</v>
      </c>
      <c r="E70" s="192">
        <v>305</v>
      </c>
      <c r="F70" s="191">
        <v>93</v>
      </c>
      <c r="G70" s="191">
        <v>93</v>
      </c>
      <c r="H70" s="191">
        <v>93</v>
      </c>
      <c r="I70" s="190">
        <v>99</v>
      </c>
      <c r="J70" s="189">
        <v>495</v>
      </c>
      <c r="K70" s="189"/>
      <c r="L70" s="189"/>
      <c r="M70" s="189"/>
      <c r="N70" s="189"/>
      <c r="O70" s="104"/>
      <c r="P70" s="189">
        <v>118</v>
      </c>
      <c r="Q70" s="189">
        <v>118</v>
      </c>
      <c r="R70" s="189">
        <v>163</v>
      </c>
      <c r="S70" s="189">
        <v>497</v>
      </c>
      <c r="T70" s="104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64">
        <f t="shared" si="15"/>
        <v>992</v>
      </c>
      <c r="AK70" s="108">
        <f t="shared" si="16"/>
        <v>85.517241379310349</v>
      </c>
      <c r="AL70" s="163">
        <f t="shared" si="17"/>
        <v>262</v>
      </c>
      <c r="AM70" s="108">
        <f t="shared" si="18"/>
        <v>85.901639344262293</v>
      </c>
    </row>
    <row r="71" spans="1:40" x14ac:dyDescent="0.25">
      <c r="A71" s="113"/>
      <c r="B71" s="113" t="s">
        <v>410</v>
      </c>
      <c r="C71" s="113">
        <f t="shared" ref="C71:AJ71" si="19">SUM(C65:C70)</f>
        <v>0</v>
      </c>
      <c r="D71" s="188">
        <f t="shared" si="19"/>
        <v>13027</v>
      </c>
      <c r="E71" s="113">
        <f t="shared" si="19"/>
        <v>4308</v>
      </c>
      <c r="F71" s="113">
        <f t="shared" si="19"/>
        <v>361</v>
      </c>
      <c r="G71" s="113">
        <f t="shared" si="19"/>
        <v>242</v>
      </c>
      <c r="H71" s="113">
        <f t="shared" si="19"/>
        <v>230</v>
      </c>
      <c r="I71" s="113">
        <f t="shared" si="19"/>
        <v>576</v>
      </c>
      <c r="J71" s="113">
        <f t="shared" si="19"/>
        <v>2445</v>
      </c>
      <c r="K71" s="113">
        <f t="shared" si="19"/>
        <v>0</v>
      </c>
      <c r="L71" s="113">
        <f t="shared" si="19"/>
        <v>0</v>
      </c>
      <c r="M71" s="113">
        <f t="shared" si="19"/>
        <v>0</v>
      </c>
      <c r="N71" s="113">
        <f t="shared" si="19"/>
        <v>0</v>
      </c>
      <c r="O71" s="113">
        <f t="shared" si="19"/>
        <v>0</v>
      </c>
      <c r="P71" s="113">
        <f t="shared" si="19"/>
        <v>2206</v>
      </c>
      <c r="Q71" s="113">
        <f t="shared" si="19"/>
        <v>2216</v>
      </c>
      <c r="R71" s="113">
        <f t="shared" si="19"/>
        <v>3293</v>
      </c>
      <c r="S71" s="113">
        <f t="shared" si="19"/>
        <v>8998</v>
      </c>
      <c r="T71" s="113">
        <f t="shared" si="19"/>
        <v>0</v>
      </c>
      <c r="U71" s="113">
        <f t="shared" si="19"/>
        <v>0</v>
      </c>
      <c r="V71" s="113">
        <f t="shared" si="19"/>
        <v>0</v>
      </c>
      <c r="W71" s="113">
        <f t="shared" si="19"/>
        <v>0</v>
      </c>
      <c r="X71" s="113">
        <f t="shared" si="19"/>
        <v>0</v>
      </c>
      <c r="Y71" s="113">
        <f t="shared" si="19"/>
        <v>0</v>
      </c>
      <c r="Z71" s="113">
        <f t="shared" si="19"/>
        <v>0</v>
      </c>
      <c r="AA71" s="113">
        <f t="shared" si="19"/>
        <v>0</v>
      </c>
      <c r="AB71" s="113">
        <f t="shared" si="19"/>
        <v>0</v>
      </c>
      <c r="AC71" s="113">
        <f t="shared" si="19"/>
        <v>0</v>
      </c>
      <c r="AD71" s="113">
        <f t="shared" si="19"/>
        <v>0</v>
      </c>
      <c r="AE71" s="113">
        <f t="shared" si="19"/>
        <v>0</v>
      </c>
      <c r="AF71" s="113">
        <f t="shared" si="19"/>
        <v>1</v>
      </c>
      <c r="AG71" s="113">
        <f t="shared" si="19"/>
        <v>1</v>
      </c>
      <c r="AH71" s="113">
        <f t="shared" si="19"/>
        <v>60</v>
      </c>
      <c r="AI71" s="113">
        <f t="shared" si="19"/>
        <v>240</v>
      </c>
      <c r="AJ71" s="113">
        <f t="shared" si="19"/>
        <v>11683</v>
      </c>
      <c r="AK71" s="106">
        <f t="shared" si="16"/>
        <v>89.682966147232662</v>
      </c>
      <c r="AL71" s="113">
        <f>SUM(AL65:AL70)</f>
        <v>3929</v>
      </c>
      <c r="AM71" s="106">
        <f t="shared" si="18"/>
        <v>91.202414113277612</v>
      </c>
      <c r="AN71" s="99">
        <v>83.57</v>
      </c>
    </row>
    <row r="72" spans="1:40" x14ac:dyDescent="0.25">
      <c r="A72" s="120">
        <v>1</v>
      </c>
      <c r="B72" s="187" t="s">
        <v>409</v>
      </c>
      <c r="C72" s="187">
        <v>4</v>
      </c>
      <c r="D72" s="179">
        <v>2910</v>
      </c>
      <c r="E72" s="185">
        <v>582</v>
      </c>
      <c r="F72" s="136">
        <v>25</v>
      </c>
      <c r="G72" s="136">
        <v>25</v>
      </c>
      <c r="H72" s="136">
        <v>25</v>
      </c>
      <c r="I72" s="179">
        <v>121</v>
      </c>
      <c r="J72" s="178">
        <v>605</v>
      </c>
      <c r="K72" s="179">
        <v>0</v>
      </c>
      <c r="L72" s="179">
        <v>0</v>
      </c>
      <c r="M72" s="179">
        <v>0</v>
      </c>
      <c r="N72" s="179">
        <v>0</v>
      </c>
      <c r="O72" s="179">
        <v>0</v>
      </c>
      <c r="P72" s="179">
        <v>56</v>
      </c>
      <c r="Q72" s="179">
        <v>54</v>
      </c>
      <c r="R72" s="179">
        <v>373</v>
      </c>
      <c r="S72" s="178">
        <v>2219</v>
      </c>
      <c r="T72" s="179">
        <v>0</v>
      </c>
      <c r="U72" s="179">
        <v>0</v>
      </c>
      <c r="V72" s="179">
        <v>0</v>
      </c>
      <c r="W72" s="179">
        <v>0</v>
      </c>
      <c r="X72" s="179">
        <v>0</v>
      </c>
      <c r="Y72" s="179">
        <v>0</v>
      </c>
      <c r="Z72" s="179">
        <v>0</v>
      </c>
      <c r="AA72" s="178">
        <v>0</v>
      </c>
      <c r="AB72" s="179">
        <v>0</v>
      </c>
      <c r="AC72" s="179">
        <v>0</v>
      </c>
      <c r="AD72" s="179">
        <v>0</v>
      </c>
      <c r="AE72" s="179">
        <v>0</v>
      </c>
      <c r="AF72" s="179">
        <v>0</v>
      </c>
      <c r="AG72" s="179">
        <v>0</v>
      </c>
      <c r="AH72" s="179">
        <v>0</v>
      </c>
      <c r="AI72" s="178">
        <v>0</v>
      </c>
      <c r="AJ72" s="164">
        <f t="shared" ref="AJ72:AJ82" si="20">J72+O72+S72+W72+AA72+AE72+AI72</f>
        <v>2824</v>
      </c>
      <c r="AK72" s="177">
        <f t="shared" si="16"/>
        <v>97.044673539518897</v>
      </c>
      <c r="AL72" s="163">
        <f t="shared" ref="AL72:AL82" si="21">AH72+AD72+Z72+V72+R72+N72+I72</f>
        <v>494</v>
      </c>
      <c r="AM72" s="177">
        <f t="shared" si="18"/>
        <v>84.87972508591065</v>
      </c>
    </row>
    <row r="73" spans="1:40" x14ac:dyDescent="0.25">
      <c r="A73" s="120">
        <v>2</v>
      </c>
      <c r="B73" s="187" t="s">
        <v>408</v>
      </c>
      <c r="C73" s="187">
        <v>5</v>
      </c>
      <c r="D73" s="179">
        <v>1117</v>
      </c>
      <c r="E73" s="185">
        <v>261</v>
      </c>
      <c r="F73" s="136">
        <v>51</v>
      </c>
      <c r="G73" s="136">
        <v>51</v>
      </c>
      <c r="H73" s="136">
        <v>51</v>
      </c>
      <c r="I73" s="179">
        <v>108</v>
      </c>
      <c r="J73" s="178">
        <v>432</v>
      </c>
      <c r="K73" s="179">
        <v>0</v>
      </c>
      <c r="L73" s="179">
        <v>0</v>
      </c>
      <c r="M73" s="179">
        <v>0</v>
      </c>
      <c r="N73" s="179">
        <v>0</v>
      </c>
      <c r="O73" s="179">
        <v>0</v>
      </c>
      <c r="P73" s="179">
        <v>36</v>
      </c>
      <c r="Q73" s="179">
        <v>34</v>
      </c>
      <c r="R73" s="179">
        <v>118</v>
      </c>
      <c r="S73" s="178">
        <v>650</v>
      </c>
      <c r="T73" s="179">
        <v>0</v>
      </c>
      <c r="U73" s="179">
        <v>0</v>
      </c>
      <c r="V73" s="179">
        <v>0</v>
      </c>
      <c r="W73" s="179">
        <v>0</v>
      </c>
      <c r="X73" s="179">
        <v>0</v>
      </c>
      <c r="Y73" s="179">
        <v>0</v>
      </c>
      <c r="Z73" s="179">
        <v>0</v>
      </c>
      <c r="AA73" s="178">
        <v>0</v>
      </c>
      <c r="AB73" s="179">
        <v>0</v>
      </c>
      <c r="AC73" s="179">
        <v>0</v>
      </c>
      <c r="AD73" s="179">
        <v>0</v>
      </c>
      <c r="AE73" s="179">
        <v>0</v>
      </c>
      <c r="AF73" s="179">
        <v>0</v>
      </c>
      <c r="AG73" s="179">
        <v>0</v>
      </c>
      <c r="AH73" s="179">
        <v>0</v>
      </c>
      <c r="AI73" s="178">
        <v>0</v>
      </c>
      <c r="AJ73" s="164">
        <f t="shared" si="20"/>
        <v>1082</v>
      </c>
      <c r="AK73" s="177">
        <f t="shared" si="16"/>
        <v>96.866606982990149</v>
      </c>
      <c r="AL73" s="163">
        <f t="shared" si="21"/>
        <v>226</v>
      </c>
      <c r="AM73" s="177">
        <f t="shared" si="18"/>
        <v>86.59003831417624</v>
      </c>
    </row>
    <row r="74" spans="1:40" x14ac:dyDescent="0.25">
      <c r="A74" s="120">
        <v>3</v>
      </c>
      <c r="B74" s="187" t="s">
        <v>407</v>
      </c>
      <c r="C74" s="187">
        <v>5</v>
      </c>
      <c r="D74" s="179">
        <v>921</v>
      </c>
      <c r="E74" s="185">
        <v>241</v>
      </c>
      <c r="F74" s="186">
        <v>34</v>
      </c>
      <c r="G74" s="186">
        <v>34</v>
      </c>
      <c r="H74" s="186">
        <v>34</v>
      </c>
      <c r="I74" s="179">
        <v>98</v>
      </c>
      <c r="J74" s="178">
        <v>465</v>
      </c>
      <c r="K74" s="179">
        <v>0</v>
      </c>
      <c r="L74" s="179">
        <v>0</v>
      </c>
      <c r="M74" s="179">
        <v>0</v>
      </c>
      <c r="N74" s="179">
        <v>0</v>
      </c>
      <c r="O74" s="179">
        <v>0</v>
      </c>
      <c r="P74" s="179">
        <v>59</v>
      </c>
      <c r="Q74" s="179">
        <v>53</v>
      </c>
      <c r="R74" s="179">
        <v>143</v>
      </c>
      <c r="S74" s="178">
        <v>456</v>
      </c>
      <c r="T74" s="179">
        <v>0</v>
      </c>
      <c r="U74" s="179">
        <v>0</v>
      </c>
      <c r="V74" s="179">
        <v>0</v>
      </c>
      <c r="W74" s="179">
        <v>0</v>
      </c>
      <c r="X74" s="179">
        <v>0</v>
      </c>
      <c r="Y74" s="179">
        <v>0</v>
      </c>
      <c r="Z74" s="179">
        <v>0</v>
      </c>
      <c r="AA74" s="178">
        <v>0</v>
      </c>
      <c r="AB74" s="179">
        <v>0</v>
      </c>
      <c r="AC74" s="179">
        <v>0</v>
      </c>
      <c r="AD74" s="179">
        <v>0</v>
      </c>
      <c r="AE74" s="179">
        <v>0</v>
      </c>
      <c r="AF74" s="179">
        <v>0</v>
      </c>
      <c r="AG74" s="179">
        <v>0</v>
      </c>
      <c r="AH74" s="179">
        <v>0</v>
      </c>
      <c r="AI74" s="178">
        <v>0</v>
      </c>
      <c r="AJ74" s="164">
        <f t="shared" si="20"/>
        <v>921</v>
      </c>
      <c r="AK74" s="177">
        <f t="shared" si="16"/>
        <v>100</v>
      </c>
      <c r="AL74" s="163">
        <f t="shared" si="21"/>
        <v>241</v>
      </c>
      <c r="AM74" s="177">
        <f t="shared" si="18"/>
        <v>100</v>
      </c>
    </row>
    <row r="75" spans="1:40" x14ac:dyDescent="0.25">
      <c r="A75" s="120">
        <v>4</v>
      </c>
      <c r="B75" s="187" t="s">
        <v>406</v>
      </c>
      <c r="C75" s="187">
        <v>9</v>
      </c>
      <c r="D75" s="179">
        <v>2897</v>
      </c>
      <c r="E75" s="185">
        <v>838</v>
      </c>
      <c r="F75" s="186">
        <v>203</v>
      </c>
      <c r="G75" s="186">
        <v>203</v>
      </c>
      <c r="H75" s="186">
        <v>203</v>
      </c>
      <c r="I75" s="179">
        <v>342</v>
      </c>
      <c r="J75" s="178">
        <v>988</v>
      </c>
      <c r="K75" s="179">
        <v>0</v>
      </c>
      <c r="L75" s="179">
        <v>0</v>
      </c>
      <c r="M75" s="179">
        <v>0</v>
      </c>
      <c r="N75" s="179">
        <v>0</v>
      </c>
      <c r="O75" s="179">
        <v>0</v>
      </c>
      <c r="P75" s="179">
        <v>479</v>
      </c>
      <c r="Q75" s="179">
        <v>479</v>
      </c>
      <c r="R75" s="179">
        <v>419</v>
      </c>
      <c r="S75" s="178">
        <v>1298</v>
      </c>
      <c r="T75" s="179">
        <v>0</v>
      </c>
      <c r="U75" s="179">
        <v>0</v>
      </c>
      <c r="V75" s="179">
        <v>0</v>
      </c>
      <c r="W75" s="179">
        <v>0</v>
      </c>
      <c r="X75" s="179">
        <v>2</v>
      </c>
      <c r="Y75" s="179">
        <v>1</v>
      </c>
      <c r="Z75" s="179">
        <v>9</v>
      </c>
      <c r="AA75" s="178">
        <v>37</v>
      </c>
      <c r="AB75" s="179">
        <v>0</v>
      </c>
      <c r="AC75" s="179">
        <v>0</v>
      </c>
      <c r="AD75" s="179">
        <v>0</v>
      </c>
      <c r="AE75" s="179">
        <v>0</v>
      </c>
      <c r="AF75" s="179">
        <v>20</v>
      </c>
      <c r="AG75" s="179">
        <v>20</v>
      </c>
      <c r="AH75" s="179">
        <v>20</v>
      </c>
      <c r="AI75" s="178">
        <v>357</v>
      </c>
      <c r="AJ75" s="164">
        <f t="shared" si="20"/>
        <v>2680</v>
      </c>
      <c r="AK75" s="177">
        <f t="shared" si="16"/>
        <v>92.509492578529517</v>
      </c>
      <c r="AL75" s="163">
        <f t="shared" si="21"/>
        <v>790</v>
      </c>
      <c r="AM75" s="177">
        <f t="shared" si="18"/>
        <v>94.272076372315041</v>
      </c>
    </row>
    <row r="76" spans="1:40" x14ac:dyDescent="0.25">
      <c r="A76" s="120">
        <v>5</v>
      </c>
      <c r="B76" s="182" t="s">
        <v>405</v>
      </c>
      <c r="C76" s="182">
        <v>5</v>
      </c>
      <c r="D76" s="178">
        <v>1128</v>
      </c>
      <c r="E76" s="184">
        <v>284</v>
      </c>
      <c r="F76" s="136">
        <v>43</v>
      </c>
      <c r="G76" s="178">
        <v>43</v>
      </c>
      <c r="H76" s="178">
        <v>43</v>
      </c>
      <c r="I76" s="178">
        <v>83</v>
      </c>
      <c r="J76" s="178">
        <v>242</v>
      </c>
      <c r="K76" s="179">
        <v>0</v>
      </c>
      <c r="L76" s="179">
        <v>0</v>
      </c>
      <c r="M76" s="179">
        <v>0</v>
      </c>
      <c r="N76" s="179">
        <v>0</v>
      </c>
      <c r="O76" s="179">
        <v>0</v>
      </c>
      <c r="P76" s="178">
        <v>12</v>
      </c>
      <c r="Q76" s="178">
        <v>12</v>
      </c>
      <c r="R76" s="178">
        <v>98</v>
      </c>
      <c r="S76" s="178">
        <v>480</v>
      </c>
      <c r="T76" s="179">
        <v>0</v>
      </c>
      <c r="U76" s="179">
        <v>0</v>
      </c>
      <c r="V76" s="179">
        <v>0</v>
      </c>
      <c r="W76" s="179">
        <v>0</v>
      </c>
      <c r="X76" s="179">
        <v>1</v>
      </c>
      <c r="Y76" s="179">
        <v>1</v>
      </c>
      <c r="Z76" s="179">
        <v>40</v>
      </c>
      <c r="AA76" s="178">
        <v>160</v>
      </c>
      <c r="AB76" s="179">
        <v>0</v>
      </c>
      <c r="AC76" s="179">
        <v>0</v>
      </c>
      <c r="AD76" s="179">
        <v>0</v>
      </c>
      <c r="AE76" s="179">
        <v>0</v>
      </c>
      <c r="AF76" s="179">
        <v>30</v>
      </c>
      <c r="AG76" s="179">
        <v>30</v>
      </c>
      <c r="AH76" s="179">
        <v>50</v>
      </c>
      <c r="AI76" s="178">
        <v>200</v>
      </c>
      <c r="AJ76" s="164">
        <f t="shared" si="20"/>
        <v>1082</v>
      </c>
      <c r="AK76" s="177">
        <f t="shared" si="16"/>
        <v>95.921985815602838</v>
      </c>
      <c r="AL76" s="163">
        <f t="shared" si="21"/>
        <v>271</v>
      </c>
      <c r="AM76" s="177">
        <f t="shared" si="18"/>
        <v>95.422535211267601</v>
      </c>
    </row>
    <row r="77" spans="1:40" x14ac:dyDescent="0.25">
      <c r="A77" s="120">
        <v>6</v>
      </c>
      <c r="B77" s="182" t="s">
        <v>404</v>
      </c>
      <c r="C77" s="182">
        <v>8</v>
      </c>
      <c r="D77" s="178">
        <v>4094</v>
      </c>
      <c r="E77" s="185">
        <v>946</v>
      </c>
      <c r="F77" s="136">
        <v>160</v>
      </c>
      <c r="G77" s="178">
        <v>140</v>
      </c>
      <c r="H77" s="178">
        <v>140</v>
      </c>
      <c r="I77" s="178">
        <v>280</v>
      </c>
      <c r="J77" s="178">
        <f>I77*4</f>
        <v>1120</v>
      </c>
      <c r="K77" s="179">
        <v>0</v>
      </c>
      <c r="L77" s="179">
        <v>0</v>
      </c>
      <c r="M77" s="179">
        <v>0</v>
      </c>
      <c r="N77" s="179">
        <v>0</v>
      </c>
      <c r="O77" s="179">
        <v>0</v>
      </c>
      <c r="P77" s="178">
        <v>250</v>
      </c>
      <c r="Q77" s="178">
        <v>250</v>
      </c>
      <c r="R77" s="178">
        <v>500</v>
      </c>
      <c r="S77" s="178">
        <f>R77*4</f>
        <v>2000</v>
      </c>
      <c r="T77" s="179">
        <v>0</v>
      </c>
      <c r="U77" s="179">
        <v>0</v>
      </c>
      <c r="V77" s="179">
        <v>0</v>
      </c>
      <c r="W77" s="179">
        <v>0</v>
      </c>
      <c r="X77" s="178">
        <v>0</v>
      </c>
      <c r="Y77" s="178">
        <v>0</v>
      </c>
      <c r="Z77" s="178">
        <v>0</v>
      </c>
      <c r="AA77" s="178">
        <v>0</v>
      </c>
      <c r="AB77" s="179">
        <v>0</v>
      </c>
      <c r="AC77" s="179">
        <v>0</v>
      </c>
      <c r="AD77" s="179">
        <v>0</v>
      </c>
      <c r="AE77" s="179">
        <v>0</v>
      </c>
      <c r="AF77" s="178">
        <v>0</v>
      </c>
      <c r="AG77" s="179">
        <v>0</v>
      </c>
      <c r="AH77" s="179">
        <v>0</v>
      </c>
      <c r="AI77" s="178">
        <v>0</v>
      </c>
      <c r="AJ77" s="164">
        <f t="shared" si="20"/>
        <v>3120</v>
      </c>
      <c r="AK77" s="177">
        <f t="shared" si="16"/>
        <v>76.209086468001956</v>
      </c>
      <c r="AL77" s="163">
        <f t="shared" si="21"/>
        <v>780</v>
      </c>
      <c r="AM77" s="177">
        <f t="shared" si="18"/>
        <v>82.4524312896406</v>
      </c>
    </row>
    <row r="78" spans="1:40" x14ac:dyDescent="0.25">
      <c r="A78" s="120">
        <v>7</v>
      </c>
      <c r="B78" s="182" t="s">
        <v>403</v>
      </c>
      <c r="C78" s="182">
        <v>5</v>
      </c>
      <c r="D78" s="178">
        <v>4457</v>
      </c>
      <c r="E78" s="184">
        <v>1263</v>
      </c>
      <c r="F78" s="136">
        <v>100</v>
      </c>
      <c r="G78" s="178">
        <v>100</v>
      </c>
      <c r="H78" s="178">
        <v>100</v>
      </c>
      <c r="I78" s="178">
        <v>309</v>
      </c>
      <c r="J78" s="178">
        <f>I78*3</f>
        <v>927</v>
      </c>
      <c r="K78" s="179">
        <v>0</v>
      </c>
      <c r="L78" s="179">
        <v>0</v>
      </c>
      <c r="M78" s="179">
        <v>0</v>
      </c>
      <c r="N78" s="179">
        <v>0</v>
      </c>
      <c r="O78" s="179">
        <v>0</v>
      </c>
      <c r="P78" s="178">
        <v>82</v>
      </c>
      <c r="Q78" s="178">
        <v>74</v>
      </c>
      <c r="R78" s="178">
        <v>296</v>
      </c>
      <c r="S78" s="178">
        <f>R78*5</f>
        <v>1480</v>
      </c>
      <c r="T78" s="179">
        <v>0</v>
      </c>
      <c r="U78" s="179">
        <v>0</v>
      </c>
      <c r="V78" s="179">
        <v>0</v>
      </c>
      <c r="W78" s="179">
        <v>0</v>
      </c>
      <c r="X78" s="178">
        <v>0</v>
      </c>
      <c r="Y78" s="178">
        <v>0</v>
      </c>
      <c r="Z78" s="178">
        <v>0</v>
      </c>
      <c r="AA78" s="178">
        <v>0</v>
      </c>
      <c r="AB78" s="179">
        <v>0</v>
      </c>
      <c r="AC78" s="179">
        <v>0</v>
      </c>
      <c r="AD78" s="179">
        <v>0</v>
      </c>
      <c r="AE78" s="179">
        <v>0</v>
      </c>
      <c r="AF78" s="178">
        <v>100</v>
      </c>
      <c r="AG78" s="179">
        <v>100</v>
      </c>
      <c r="AH78" s="179">
        <v>500</v>
      </c>
      <c r="AI78" s="178">
        <v>1510</v>
      </c>
      <c r="AJ78" s="164">
        <f t="shared" si="20"/>
        <v>3917</v>
      </c>
      <c r="AK78" s="177">
        <f t="shared" si="16"/>
        <v>87.884227058559574</v>
      </c>
      <c r="AL78" s="163">
        <f t="shared" si="21"/>
        <v>1105</v>
      </c>
      <c r="AM78" s="177">
        <f t="shared" si="18"/>
        <v>87.490102929532853</v>
      </c>
    </row>
    <row r="79" spans="1:40" x14ac:dyDescent="0.25">
      <c r="A79" s="120">
        <v>8</v>
      </c>
      <c r="B79" s="182" t="s">
        <v>402</v>
      </c>
      <c r="C79" s="182">
        <v>9</v>
      </c>
      <c r="D79" s="178">
        <v>2948</v>
      </c>
      <c r="E79" s="181">
        <v>815</v>
      </c>
      <c r="F79" s="178">
        <v>43</v>
      </c>
      <c r="G79" s="178">
        <v>43</v>
      </c>
      <c r="H79" s="178">
        <v>43</v>
      </c>
      <c r="I79" s="178">
        <v>144</v>
      </c>
      <c r="J79" s="178">
        <v>576</v>
      </c>
      <c r="K79" s="179">
        <v>0</v>
      </c>
      <c r="L79" s="179">
        <v>0</v>
      </c>
      <c r="M79" s="179">
        <v>0</v>
      </c>
      <c r="N79" s="179">
        <v>0</v>
      </c>
      <c r="O79" s="179">
        <v>0</v>
      </c>
      <c r="P79" s="178">
        <v>86</v>
      </c>
      <c r="Q79" s="178">
        <v>86</v>
      </c>
      <c r="R79" s="178">
        <v>248</v>
      </c>
      <c r="S79" s="178">
        <v>902</v>
      </c>
      <c r="T79" s="179">
        <v>0</v>
      </c>
      <c r="U79" s="179">
        <v>0</v>
      </c>
      <c r="V79" s="179">
        <v>0</v>
      </c>
      <c r="W79" s="179">
        <v>0</v>
      </c>
      <c r="X79" s="178">
        <v>1</v>
      </c>
      <c r="Y79" s="178">
        <v>1</v>
      </c>
      <c r="Z79" s="178">
        <v>386</v>
      </c>
      <c r="AA79" s="178">
        <v>1308</v>
      </c>
      <c r="AB79" s="179">
        <v>0</v>
      </c>
      <c r="AC79" s="179">
        <v>0</v>
      </c>
      <c r="AD79" s="179">
        <v>0</v>
      </c>
      <c r="AE79" s="179">
        <v>0</v>
      </c>
      <c r="AF79" s="178">
        <v>0</v>
      </c>
      <c r="AG79" s="178">
        <v>0</v>
      </c>
      <c r="AH79" s="178">
        <v>0</v>
      </c>
      <c r="AI79" s="178">
        <v>0</v>
      </c>
      <c r="AJ79" s="164">
        <f t="shared" si="20"/>
        <v>2786</v>
      </c>
      <c r="AK79" s="177">
        <f t="shared" si="16"/>
        <v>94.504748982360923</v>
      </c>
      <c r="AL79" s="163">
        <f t="shared" si="21"/>
        <v>778</v>
      </c>
      <c r="AM79" s="177">
        <f t="shared" si="18"/>
        <v>95.460122699386503</v>
      </c>
    </row>
    <row r="80" spans="1:40" x14ac:dyDescent="0.25">
      <c r="A80" s="120">
        <v>9</v>
      </c>
      <c r="B80" s="182" t="s">
        <v>401</v>
      </c>
      <c r="C80" s="182">
        <v>8</v>
      </c>
      <c r="D80" s="178">
        <v>1901</v>
      </c>
      <c r="E80" s="181">
        <v>610</v>
      </c>
      <c r="F80" s="178">
        <v>41</v>
      </c>
      <c r="G80" s="178">
        <v>41</v>
      </c>
      <c r="H80" s="178">
        <v>41</v>
      </c>
      <c r="I80" s="178">
        <v>136</v>
      </c>
      <c r="J80" s="178">
        <f>I80*4</f>
        <v>544</v>
      </c>
      <c r="K80" s="179">
        <v>0</v>
      </c>
      <c r="L80" s="179">
        <v>0</v>
      </c>
      <c r="M80" s="179">
        <v>0</v>
      </c>
      <c r="N80" s="179">
        <v>0</v>
      </c>
      <c r="O80" s="179">
        <v>0</v>
      </c>
      <c r="P80" s="178">
        <v>130</v>
      </c>
      <c r="Q80" s="178">
        <v>130</v>
      </c>
      <c r="R80" s="178">
        <v>260</v>
      </c>
      <c r="S80" s="178">
        <f>R80*4</f>
        <v>1040</v>
      </c>
      <c r="T80" s="179">
        <v>0</v>
      </c>
      <c r="U80" s="179">
        <v>0</v>
      </c>
      <c r="V80" s="179">
        <v>0</v>
      </c>
      <c r="W80" s="179">
        <v>0</v>
      </c>
      <c r="X80" s="178">
        <v>0</v>
      </c>
      <c r="Y80" s="178">
        <v>0</v>
      </c>
      <c r="Z80" s="178">
        <v>0</v>
      </c>
      <c r="AA80" s="178">
        <v>0</v>
      </c>
      <c r="AB80" s="179">
        <v>0</v>
      </c>
      <c r="AC80" s="179">
        <v>0</v>
      </c>
      <c r="AD80" s="179">
        <v>0</v>
      </c>
      <c r="AE80" s="179">
        <v>0</v>
      </c>
      <c r="AF80" s="178">
        <v>0</v>
      </c>
      <c r="AG80" s="178">
        <v>0</v>
      </c>
      <c r="AH80" s="178">
        <v>0</v>
      </c>
      <c r="AI80" s="178">
        <v>0</v>
      </c>
      <c r="AJ80" s="164">
        <f t="shared" si="20"/>
        <v>1584</v>
      </c>
      <c r="AK80" s="177">
        <f t="shared" si="16"/>
        <v>83.324566017885331</v>
      </c>
      <c r="AL80" s="163">
        <f t="shared" si="21"/>
        <v>396</v>
      </c>
      <c r="AM80" s="177">
        <f t="shared" si="18"/>
        <v>64.918032786885249</v>
      </c>
    </row>
    <row r="81" spans="1:40" x14ac:dyDescent="0.25">
      <c r="A81" s="120">
        <v>10</v>
      </c>
      <c r="B81" s="182" t="s">
        <v>400</v>
      </c>
      <c r="C81" s="182">
        <v>6</v>
      </c>
      <c r="D81" s="178">
        <v>1504</v>
      </c>
      <c r="E81" s="181">
        <v>409</v>
      </c>
      <c r="F81" s="178">
        <v>45</v>
      </c>
      <c r="G81" s="178">
        <v>45</v>
      </c>
      <c r="H81" s="178">
        <v>45</v>
      </c>
      <c r="I81" s="178">
        <v>96</v>
      </c>
      <c r="J81" s="178">
        <v>268</v>
      </c>
      <c r="K81" s="179">
        <v>0</v>
      </c>
      <c r="L81" s="179">
        <v>0</v>
      </c>
      <c r="M81" s="179">
        <v>0</v>
      </c>
      <c r="N81" s="179">
        <v>0</v>
      </c>
      <c r="O81" s="179">
        <v>0</v>
      </c>
      <c r="P81" s="178">
        <v>48</v>
      </c>
      <c r="Q81" s="178">
        <v>48</v>
      </c>
      <c r="R81" s="178">
        <v>154</v>
      </c>
      <c r="S81" s="178">
        <v>576</v>
      </c>
      <c r="T81" s="179">
        <v>0</v>
      </c>
      <c r="U81" s="179">
        <v>0</v>
      </c>
      <c r="V81" s="179">
        <v>0</v>
      </c>
      <c r="W81" s="179">
        <v>0</v>
      </c>
      <c r="X81" s="178">
        <v>2</v>
      </c>
      <c r="Y81" s="178">
        <v>2</v>
      </c>
      <c r="Z81" s="178">
        <v>151</v>
      </c>
      <c r="AA81" s="178">
        <v>640</v>
      </c>
      <c r="AB81" s="179">
        <v>0</v>
      </c>
      <c r="AC81" s="179">
        <v>0</v>
      </c>
      <c r="AD81" s="179">
        <v>0</v>
      </c>
      <c r="AE81" s="179">
        <v>0</v>
      </c>
      <c r="AF81" s="178">
        <v>0</v>
      </c>
      <c r="AG81" s="178">
        <v>0</v>
      </c>
      <c r="AH81" s="178">
        <v>0</v>
      </c>
      <c r="AI81" s="178">
        <v>0</v>
      </c>
      <c r="AJ81" s="164">
        <f t="shared" si="20"/>
        <v>1484</v>
      </c>
      <c r="AK81" s="177">
        <f t="shared" si="16"/>
        <v>98.670212765957444</v>
      </c>
      <c r="AL81" s="163">
        <f t="shared" si="21"/>
        <v>401</v>
      </c>
      <c r="AM81" s="177">
        <f t="shared" si="18"/>
        <v>98.044009779951097</v>
      </c>
    </row>
    <row r="82" spans="1:40" x14ac:dyDescent="0.25">
      <c r="A82" s="120">
        <v>11</v>
      </c>
      <c r="B82" s="183" t="s">
        <v>399</v>
      </c>
      <c r="C82" s="182">
        <v>5</v>
      </c>
      <c r="D82" s="180">
        <v>1903</v>
      </c>
      <c r="E82" s="181">
        <v>448</v>
      </c>
      <c r="F82" s="180">
        <v>5</v>
      </c>
      <c r="G82" s="180">
        <v>4</v>
      </c>
      <c r="H82" s="180">
        <v>4</v>
      </c>
      <c r="I82" s="180">
        <v>21</v>
      </c>
      <c r="J82" s="180">
        <v>42</v>
      </c>
      <c r="K82" s="179">
        <v>0</v>
      </c>
      <c r="L82" s="179">
        <v>0</v>
      </c>
      <c r="M82" s="179">
        <v>0</v>
      </c>
      <c r="N82" s="179">
        <v>0</v>
      </c>
      <c r="O82" s="179">
        <v>0</v>
      </c>
      <c r="P82" s="180">
        <v>20</v>
      </c>
      <c r="Q82" s="180">
        <v>20</v>
      </c>
      <c r="R82" s="180">
        <v>48</v>
      </c>
      <c r="S82" s="180">
        <v>336</v>
      </c>
      <c r="T82" s="179">
        <v>0</v>
      </c>
      <c r="U82" s="179">
        <v>0</v>
      </c>
      <c r="V82" s="179">
        <v>0</v>
      </c>
      <c r="W82" s="179">
        <v>0</v>
      </c>
      <c r="X82" s="180">
        <v>2</v>
      </c>
      <c r="Y82" s="180">
        <v>2</v>
      </c>
      <c r="Z82" s="180">
        <v>268</v>
      </c>
      <c r="AA82" s="178">
        <v>1081</v>
      </c>
      <c r="AB82" s="179">
        <v>0</v>
      </c>
      <c r="AC82" s="179">
        <v>0</v>
      </c>
      <c r="AD82" s="179">
        <v>0</v>
      </c>
      <c r="AE82" s="179">
        <v>0</v>
      </c>
      <c r="AF82" s="178">
        <v>70</v>
      </c>
      <c r="AG82" s="178">
        <v>70</v>
      </c>
      <c r="AH82" s="178">
        <v>70</v>
      </c>
      <c r="AI82" s="178">
        <v>350</v>
      </c>
      <c r="AJ82" s="164">
        <f t="shared" si="20"/>
        <v>1809</v>
      </c>
      <c r="AK82" s="177">
        <f t="shared" si="16"/>
        <v>95.060430898581188</v>
      </c>
      <c r="AL82" s="163">
        <f t="shared" si="21"/>
        <v>407</v>
      </c>
      <c r="AM82" s="177">
        <f t="shared" si="18"/>
        <v>90.848214285714292</v>
      </c>
    </row>
    <row r="83" spans="1:40" x14ac:dyDescent="0.25">
      <c r="A83" s="113"/>
      <c r="B83" s="176" t="s">
        <v>398</v>
      </c>
      <c r="C83" s="176">
        <f t="shared" ref="C83:J83" si="22">SUM(C72:C82)</f>
        <v>69</v>
      </c>
      <c r="D83" s="174">
        <f t="shared" si="22"/>
        <v>25780</v>
      </c>
      <c r="E83" s="174">
        <f t="shared" si="22"/>
        <v>6697</v>
      </c>
      <c r="F83" s="174">
        <f t="shared" si="22"/>
        <v>750</v>
      </c>
      <c r="G83" s="174">
        <f t="shared" si="22"/>
        <v>729</v>
      </c>
      <c r="H83" s="174">
        <f t="shared" si="22"/>
        <v>729</v>
      </c>
      <c r="I83" s="174">
        <f t="shared" si="22"/>
        <v>1738</v>
      </c>
      <c r="J83" s="174">
        <f t="shared" si="22"/>
        <v>6209</v>
      </c>
      <c r="K83" s="174"/>
      <c r="L83" s="174"/>
      <c r="M83" s="174"/>
      <c r="N83" s="174"/>
      <c r="O83" s="174"/>
      <c r="P83" s="174">
        <f>SUM(P72:P82)</f>
        <v>1258</v>
      </c>
      <c r="Q83" s="174">
        <f>SUM(Q72:Q82)</f>
        <v>1240</v>
      </c>
      <c r="R83" s="174">
        <f>SUM(R72:R82)</f>
        <v>2657</v>
      </c>
      <c r="S83" s="174">
        <f>SUM(S72:S82)</f>
        <v>11437</v>
      </c>
      <c r="T83" s="176"/>
      <c r="U83" s="176"/>
      <c r="V83" s="176"/>
      <c r="W83" s="176"/>
      <c r="X83" s="175">
        <f>SUM(X75:X82)</f>
        <v>8</v>
      </c>
      <c r="Y83" s="175">
        <f>SUM(Y75:Y82)</f>
        <v>7</v>
      </c>
      <c r="Z83" s="175">
        <f>SUM(Z75:Z82)</f>
        <v>854</v>
      </c>
      <c r="AA83" s="174">
        <f>SUM(AA75:AA82)</f>
        <v>3226</v>
      </c>
      <c r="AB83" s="176"/>
      <c r="AC83" s="176"/>
      <c r="AD83" s="176"/>
      <c r="AE83" s="176"/>
      <c r="AF83" s="175">
        <f>SUM(AF75:AF82)</f>
        <v>220</v>
      </c>
      <c r="AG83" s="175">
        <f>SUM(AG75:AG82)</f>
        <v>220</v>
      </c>
      <c r="AH83" s="175">
        <f>SUM(AH75:AH82)</f>
        <v>640</v>
      </c>
      <c r="AI83" s="174">
        <f>SUM(AI75:AI82)</f>
        <v>2417</v>
      </c>
      <c r="AJ83" s="174">
        <f>SUM(AJ72:AJ82)</f>
        <v>23289</v>
      </c>
      <c r="AK83" s="173">
        <f t="shared" si="16"/>
        <v>90.33747090768037</v>
      </c>
      <c r="AL83" s="174">
        <f>SUM(AL72:AL82)</f>
        <v>5889</v>
      </c>
      <c r="AM83" s="173">
        <f t="shared" si="18"/>
        <v>87.934896222189039</v>
      </c>
      <c r="AN83" s="99">
        <v>92.08</v>
      </c>
    </row>
    <row r="84" spans="1:40" x14ac:dyDescent="0.25">
      <c r="A84" s="120">
        <v>1</v>
      </c>
      <c r="B84" s="172" t="s">
        <v>397</v>
      </c>
      <c r="C84" s="171">
        <v>4</v>
      </c>
      <c r="D84" s="170">
        <v>3225</v>
      </c>
      <c r="E84" s="170">
        <v>645</v>
      </c>
      <c r="F84" s="168">
        <v>13</v>
      </c>
      <c r="G84" s="168">
        <v>8</v>
      </c>
      <c r="H84" s="168">
        <v>8</v>
      </c>
      <c r="I84" s="168">
        <v>10</v>
      </c>
      <c r="J84" s="168">
        <v>90</v>
      </c>
      <c r="K84" s="168">
        <v>0</v>
      </c>
      <c r="L84" s="168">
        <v>0</v>
      </c>
      <c r="M84" s="168">
        <v>0</v>
      </c>
      <c r="N84" s="168">
        <v>0</v>
      </c>
      <c r="O84" s="168">
        <v>0</v>
      </c>
      <c r="P84" s="167">
        <v>138</v>
      </c>
      <c r="Q84" s="168">
        <v>138</v>
      </c>
      <c r="R84" s="168">
        <v>350</v>
      </c>
      <c r="S84" s="168">
        <v>2005</v>
      </c>
      <c r="T84" s="120"/>
      <c r="U84" s="120"/>
      <c r="V84" s="120"/>
      <c r="W84" s="120"/>
      <c r="X84" s="167">
        <v>1</v>
      </c>
      <c r="Y84" s="167">
        <v>1</v>
      </c>
      <c r="Z84" s="167">
        <v>42</v>
      </c>
      <c r="AA84" s="167">
        <v>170</v>
      </c>
      <c r="AB84" s="120"/>
      <c r="AC84" s="120"/>
      <c r="AD84" s="120"/>
      <c r="AE84" s="120"/>
      <c r="AF84" s="120">
        <v>130</v>
      </c>
      <c r="AG84" s="120">
        <v>130</v>
      </c>
      <c r="AH84" s="120">
        <v>138</v>
      </c>
      <c r="AI84" s="120">
        <v>690</v>
      </c>
      <c r="AJ84" s="120">
        <v>2955</v>
      </c>
      <c r="AK84" s="108">
        <v>91.627906976744185</v>
      </c>
      <c r="AL84" s="120">
        <v>540</v>
      </c>
      <c r="AM84" s="108">
        <v>83.720930232558146</v>
      </c>
    </row>
    <row r="85" spans="1:40" x14ac:dyDescent="0.25">
      <c r="A85" s="120">
        <v>2</v>
      </c>
      <c r="B85" s="172" t="s">
        <v>396</v>
      </c>
      <c r="C85" s="171">
        <v>3</v>
      </c>
      <c r="D85" s="170">
        <v>1360</v>
      </c>
      <c r="E85" s="170">
        <v>272</v>
      </c>
      <c r="F85" s="168">
        <v>25</v>
      </c>
      <c r="G85" s="168">
        <v>25</v>
      </c>
      <c r="H85" s="168">
        <v>25</v>
      </c>
      <c r="I85" s="168">
        <v>27</v>
      </c>
      <c r="J85" s="168">
        <v>123</v>
      </c>
      <c r="K85" s="168">
        <v>0</v>
      </c>
      <c r="L85" s="168">
        <v>0</v>
      </c>
      <c r="M85" s="168">
        <v>0</v>
      </c>
      <c r="N85" s="168">
        <v>0</v>
      </c>
      <c r="O85" s="168">
        <v>0</v>
      </c>
      <c r="P85" s="167">
        <v>131</v>
      </c>
      <c r="Q85" s="168">
        <v>131</v>
      </c>
      <c r="R85" s="168">
        <v>161</v>
      </c>
      <c r="S85" s="168">
        <v>670</v>
      </c>
      <c r="T85" s="120"/>
      <c r="U85" s="120"/>
      <c r="V85" s="120"/>
      <c r="W85" s="120"/>
      <c r="X85" s="167">
        <v>1</v>
      </c>
      <c r="Y85" s="167">
        <v>1</v>
      </c>
      <c r="Z85" s="167">
        <v>42</v>
      </c>
      <c r="AA85" s="167">
        <v>168</v>
      </c>
      <c r="AB85" s="120"/>
      <c r="AC85" s="120"/>
      <c r="AD85" s="120"/>
      <c r="AE85" s="120"/>
      <c r="AF85" s="120">
        <v>0</v>
      </c>
      <c r="AG85" s="120">
        <v>0</v>
      </c>
      <c r="AH85" s="120">
        <v>0</v>
      </c>
      <c r="AI85" s="120">
        <v>0</v>
      </c>
      <c r="AJ85" s="120">
        <v>961</v>
      </c>
      <c r="AK85" s="108">
        <v>70.661764705882362</v>
      </c>
      <c r="AL85" s="120">
        <v>230</v>
      </c>
      <c r="AM85" s="108">
        <v>84.558823529411768</v>
      </c>
    </row>
    <row r="86" spans="1:40" x14ac:dyDescent="0.25">
      <c r="A86" s="120">
        <v>3</v>
      </c>
      <c r="B86" s="172" t="s">
        <v>395</v>
      </c>
      <c r="C86" s="171">
        <v>5</v>
      </c>
      <c r="D86" s="170">
        <v>1515</v>
      </c>
      <c r="E86" s="170">
        <v>303</v>
      </c>
      <c r="F86" s="169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60</v>
      </c>
      <c r="Q86" s="168">
        <v>60</v>
      </c>
      <c r="R86" s="168">
        <v>85</v>
      </c>
      <c r="S86" s="168">
        <v>427</v>
      </c>
      <c r="T86" s="120"/>
      <c r="U86" s="120"/>
      <c r="V86" s="120"/>
      <c r="W86" s="120"/>
      <c r="X86" s="167">
        <v>0</v>
      </c>
      <c r="Y86" s="167">
        <v>0</v>
      </c>
      <c r="Z86" s="167">
        <v>0</v>
      </c>
      <c r="AA86" s="167">
        <v>0</v>
      </c>
      <c r="AB86" s="120"/>
      <c r="AC86" s="120"/>
      <c r="AD86" s="120"/>
      <c r="AE86" s="120"/>
      <c r="AF86" s="120">
        <v>145</v>
      </c>
      <c r="AG86" s="120">
        <v>145</v>
      </c>
      <c r="AH86" s="120">
        <v>145</v>
      </c>
      <c r="AI86" s="120">
        <v>725</v>
      </c>
      <c r="AJ86" s="120">
        <v>1152</v>
      </c>
      <c r="AK86" s="108">
        <v>76.039603960396036</v>
      </c>
      <c r="AL86" s="120">
        <v>230</v>
      </c>
      <c r="AM86" s="108">
        <v>75.907590759075902</v>
      </c>
    </row>
    <row r="87" spans="1:40" x14ac:dyDescent="0.25">
      <c r="A87" s="113"/>
      <c r="B87" s="113" t="s">
        <v>394</v>
      </c>
      <c r="C87" s="113">
        <f t="shared" ref="C87:AJ87" si="23">SUM(C84:C86)</f>
        <v>12</v>
      </c>
      <c r="D87" s="113">
        <f t="shared" si="23"/>
        <v>6100</v>
      </c>
      <c r="E87" s="113">
        <f t="shared" si="23"/>
        <v>1220</v>
      </c>
      <c r="F87" s="113">
        <f t="shared" si="23"/>
        <v>38</v>
      </c>
      <c r="G87" s="113">
        <f t="shared" si="23"/>
        <v>33</v>
      </c>
      <c r="H87" s="113">
        <f t="shared" si="23"/>
        <v>33</v>
      </c>
      <c r="I87" s="113">
        <f t="shared" si="23"/>
        <v>37</v>
      </c>
      <c r="J87" s="113">
        <f t="shared" si="23"/>
        <v>213</v>
      </c>
      <c r="K87" s="113">
        <f t="shared" si="23"/>
        <v>0</v>
      </c>
      <c r="L87" s="113">
        <f t="shared" si="23"/>
        <v>0</v>
      </c>
      <c r="M87" s="113">
        <f t="shared" si="23"/>
        <v>0</v>
      </c>
      <c r="N87" s="113">
        <f t="shared" si="23"/>
        <v>0</v>
      </c>
      <c r="O87" s="113">
        <f t="shared" si="23"/>
        <v>0</v>
      </c>
      <c r="P87" s="113">
        <f t="shared" si="23"/>
        <v>329</v>
      </c>
      <c r="Q87" s="113">
        <f t="shared" si="23"/>
        <v>329</v>
      </c>
      <c r="R87" s="113">
        <f t="shared" si="23"/>
        <v>596</v>
      </c>
      <c r="S87" s="113">
        <f t="shared" si="23"/>
        <v>3102</v>
      </c>
      <c r="T87" s="113">
        <f t="shared" si="23"/>
        <v>0</v>
      </c>
      <c r="U87" s="113">
        <f t="shared" si="23"/>
        <v>0</v>
      </c>
      <c r="V87" s="113">
        <f t="shared" si="23"/>
        <v>0</v>
      </c>
      <c r="W87" s="113">
        <f t="shared" si="23"/>
        <v>0</v>
      </c>
      <c r="X87" s="113">
        <f t="shared" si="23"/>
        <v>2</v>
      </c>
      <c r="Y87" s="113">
        <f t="shared" si="23"/>
        <v>2</v>
      </c>
      <c r="Z87" s="113">
        <f t="shared" si="23"/>
        <v>84</v>
      </c>
      <c r="AA87" s="113">
        <f t="shared" si="23"/>
        <v>338</v>
      </c>
      <c r="AB87" s="113">
        <f t="shared" si="23"/>
        <v>0</v>
      </c>
      <c r="AC87" s="113">
        <f t="shared" si="23"/>
        <v>0</v>
      </c>
      <c r="AD87" s="113">
        <f t="shared" si="23"/>
        <v>0</v>
      </c>
      <c r="AE87" s="113">
        <f t="shared" si="23"/>
        <v>0</v>
      </c>
      <c r="AF87" s="113">
        <f t="shared" si="23"/>
        <v>275</v>
      </c>
      <c r="AG87" s="113">
        <f t="shared" si="23"/>
        <v>275</v>
      </c>
      <c r="AH87" s="113">
        <f t="shared" si="23"/>
        <v>283</v>
      </c>
      <c r="AI87" s="113">
        <f t="shared" si="23"/>
        <v>1415</v>
      </c>
      <c r="AJ87" s="113">
        <f t="shared" si="23"/>
        <v>5068</v>
      </c>
      <c r="AK87" s="106">
        <f>AJ87/D87*100</f>
        <v>83.081967213114751</v>
      </c>
      <c r="AL87" s="113">
        <f>SUM(AL84:AL86)</f>
        <v>1000</v>
      </c>
      <c r="AM87" s="106">
        <f>AL87/E87*100</f>
        <v>81.967213114754102</v>
      </c>
      <c r="AN87" s="99">
        <v>80.33</v>
      </c>
    </row>
    <row r="88" spans="1:40" x14ac:dyDescent="0.25">
      <c r="A88" s="104">
        <v>1</v>
      </c>
      <c r="B88" s="104" t="s">
        <v>393</v>
      </c>
      <c r="C88" s="104"/>
      <c r="D88" s="104">
        <v>3443</v>
      </c>
      <c r="E88" s="104">
        <v>790</v>
      </c>
      <c r="F88" s="104">
        <v>30</v>
      </c>
      <c r="G88" s="104">
        <v>29</v>
      </c>
      <c r="H88" s="104">
        <v>29</v>
      </c>
      <c r="I88" s="104">
        <v>116</v>
      </c>
      <c r="J88" s="104">
        <v>58</v>
      </c>
      <c r="K88" s="104">
        <v>0</v>
      </c>
      <c r="L88" s="104">
        <v>0</v>
      </c>
      <c r="M88" s="104">
        <v>0</v>
      </c>
      <c r="N88" s="104">
        <v>0</v>
      </c>
      <c r="O88" s="104">
        <v>0</v>
      </c>
      <c r="P88" s="104">
        <v>515</v>
      </c>
      <c r="Q88" s="104">
        <v>515</v>
      </c>
      <c r="R88" s="104">
        <v>515</v>
      </c>
      <c r="S88" s="104">
        <v>0</v>
      </c>
      <c r="T88" s="104">
        <v>0</v>
      </c>
      <c r="U88" s="104">
        <v>0</v>
      </c>
      <c r="V88" s="104">
        <v>0</v>
      </c>
      <c r="W88" s="104">
        <v>0</v>
      </c>
      <c r="X88" s="104">
        <v>0</v>
      </c>
      <c r="Y88" s="104">
        <v>0</v>
      </c>
      <c r="Z88" s="104">
        <v>0</v>
      </c>
      <c r="AA88" s="104">
        <v>0</v>
      </c>
      <c r="AB88" s="104">
        <v>0</v>
      </c>
      <c r="AC88" s="104">
        <v>0</v>
      </c>
      <c r="AD88" s="104">
        <v>0</v>
      </c>
      <c r="AE88" s="104">
        <v>0</v>
      </c>
      <c r="AF88" s="104">
        <v>134</v>
      </c>
      <c r="AG88" s="104">
        <v>134</v>
      </c>
      <c r="AH88" s="104">
        <v>134</v>
      </c>
      <c r="AI88" s="104">
        <v>678</v>
      </c>
      <c r="AJ88" s="104">
        <v>3318</v>
      </c>
      <c r="AK88" s="109">
        <v>96.369445251234382</v>
      </c>
      <c r="AL88" s="104">
        <v>765</v>
      </c>
      <c r="AM88" s="109">
        <v>96.835443037974684</v>
      </c>
    </row>
    <row r="89" spans="1:40" x14ac:dyDescent="0.25">
      <c r="A89" s="104">
        <v>2</v>
      </c>
      <c r="B89" s="104" t="s">
        <v>392</v>
      </c>
      <c r="C89" s="104"/>
      <c r="D89" s="104">
        <v>3310</v>
      </c>
      <c r="E89" s="104">
        <v>756</v>
      </c>
      <c r="F89" s="104">
        <v>54</v>
      </c>
      <c r="G89" s="104">
        <v>53</v>
      </c>
      <c r="H89" s="104">
        <v>53</v>
      </c>
      <c r="I89" s="104">
        <v>265</v>
      </c>
      <c r="J89" s="104">
        <v>1325</v>
      </c>
      <c r="K89" s="104">
        <v>0</v>
      </c>
      <c r="L89" s="104">
        <v>0</v>
      </c>
      <c r="M89" s="104">
        <v>0</v>
      </c>
      <c r="N89" s="104">
        <v>0</v>
      </c>
      <c r="O89" s="104">
        <v>0</v>
      </c>
      <c r="P89" s="104">
        <v>185</v>
      </c>
      <c r="Q89" s="104">
        <v>185</v>
      </c>
      <c r="R89" s="104">
        <v>185</v>
      </c>
      <c r="S89" s="104">
        <v>0</v>
      </c>
      <c r="T89" s="104">
        <v>0</v>
      </c>
      <c r="U89" s="104">
        <v>0</v>
      </c>
      <c r="V89" s="104">
        <v>0</v>
      </c>
      <c r="W89" s="104">
        <v>0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0</v>
      </c>
      <c r="AE89" s="104">
        <v>0</v>
      </c>
      <c r="AF89" s="104">
        <v>164</v>
      </c>
      <c r="AG89" s="104">
        <v>164</v>
      </c>
      <c r="AH89" s="104">
        <v>164</v>
      </c>
      <c r="AI89" s="104">
        <v>820</v>
      </c>
      <c r="AJ89" s="104">
        <v>3070</v>
      </c>
      <c r="AK89" s="109">
        <v>92.749244712990944</v>
      </c>
      <c r="AL89" s="104">
        <v>614</v>
      </c>
      <c r="AM89" s="109">
        <v>81.216931216931215</v>
      </c>
    </row>
    <row r="90" spans="1:40" x14ac:dyDescent="0.25">
      <c r="A90" s="104">
        <v>3</v>
      </c>
      <c r="B90" s="104" t="s">
        <v>391</v>
      </c>
      <c r="C90" s="104"/>
      <c r="D90" s="104">
        <v>4131</v>
      </c>
      <c r="E90" s="104">
        <v>965</v>
      </c>
      <c r="F90" s="104">
        <v>20</v>
      </c>
      <c r="G90" s="104">
        <v>20</v>
      </c>
      <c r="H90" s="104">
        <v>20</v>
      </c>
      <c r="I90" s="104">
        <v>200</v>
      </c>
      <c r="J90" s="104">
        <v>1000</v>
      </c>
      <c r="K90" s="104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520</v>
      </c>
      <c r="Q90" s="104">
        <v>520</v>
      </c>
      <c r="R90" s="104">
        <v>520</v>
      </c>
      <c r="S90" s="104">
        <v>0</v>
      </c>
      <c r="T90" s="104">
        <v>0</v>
      </c>
      <c r="U90" s="104">
        <v>0</v>
      </c>
      <c r="V90" s="104">
        <v>0</v>
      </c>
      <c r="W90" s="104">
        <v>0</v>
      </c>
      <c r="X90" s="104">
        <v>0</v>
      </c>
      <c r="Y90" s="104">
        <v>0</v>
      </c>
      <c r="Z90" s="104">
        <v>0</v>
      </c>
      <c r="AA90" s="104">
        <v>0</v>
      </c>
      <c r="AB90" s="104">
        <v>0</v>
      </c>
      <c r="AC90" s="104">
        <v>0</v>
      </c>
      <c r="AD90" s="104">
        <v>0</v>
      </c>
      <c r="AE90" s="104">
        <v>0</v>
      </c>
      <c r="AF90" s="104">
        <v>151</v>
      </c>
      <c r="AG90" s="104">
        <v>151</v>
      </c>
      <c r="AH90" s="104">
        <v>151</v>
      </c>
      <c r="AI90" s="104">
        <v>755</v>
      </c>
      <c r="AJ90" s="104">
        <v>3835</v>
      </c>
      <c r="AK90" s="109">
        <v>92.834664730089571</v>
      </c>
      <c r="AL90" s="104">
        <v>871</v>
      </c>
      <c r="AM90" s="109">
        <v>90.259067357512961</v>
      </c>
    </row>
    <row r="91" spans="1:40" x14ac:dyDescent="0.25">
      <c r="A91" s="104">
        <v>4</v>
      </c>
      <c r="B91" s="104" t="s">
        <v>390</v>
      </c>
      <c r="C91" s="104"/>
      <c r="D91" s="104">
        <v>1639</v>
      </c>
      <c r="E91" s="104">
        <v>326</v>
      </c>
      <c r="F91" s="104">
        <v>9</v>
      </c>
      <c r="G91" s="104">
        <v>9</v>
      </c>
      <c r="H91" s="104">
        <v>9</v>
      </c>
      <c r="I91" s="104">
        <v>90</v>
      </c>
      <c r="J91" s="104">
        <v>450</v>
      </c>
      <c r="K91" s="104">
        <v>0</v>
      </c>
      <c r="L91" s="104">
        <v>0</v>
      </c>
      <c r="M91" s="104">
        <v>0</v>
      </c>
      <c r="N91" s="104">
        <v>0</v>
      </c>
      <c r="O91" s="104">
        <v>0</v>
      </c>
      <c r="P91" s="104">
        <v>106</v>
      </c>
      <c r="Q91" s="104">
        <v>106</v>
      </c>
      <c r="R91" s="104">
        <v>106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04">
        <v>0</v>
      </c>
      <c r="Y91" s="104">
        <v>0</v>
      </c>
      <c r="Z91" s="104">
        <v>0</v>
      </c>
      <c r="AA91" s="104">
        <v>0</v>
      </c>
      <c r="AB91" s="104">
        <v>0</v>
      </c>
      <c r="AC91" s="104">
        <v>0</v>
      </c>
      <c r="AD91" s="104">
        <v>0</v>
      </c>
      <c r="AE91" s="104">
        <v>0</v>
      </c>
      <c r="AF91" s="104">
        <v>90</v>
      </c>
      <c r="AG91" s="104">
        <v>90</v>
      </c>
      <c r="AH91" s="104">
        <v>90</v>
      </c>
      <c r="AI91" s="104">
        <v>450</v>
      </c>
      <c r="AJ91" s="104">
        <v>1430</v>
      </c>
      <c r="AK91" s="109">
        <v>87.24832214765101</v>
      </c>
      <c r="AL91" s="104">
        <v>286</v>
      </c>
      <c r="AM91" s="109">
        <v>87.730061349693258</v>
      </c>
    </row>
    <row r="92" spans="1:40" x14ac:dyDescent="0.25">
      <c r="A92" s="104">
        <v>5</v>
      </c>
      <c r="B92" s="104" t="s">
        <v>389</v>
      </c>
      <c r="C92" s="104"/>
      <c r="D92" s="104">
        <v>3009</v>
      </c>
      <c r="E92" s="104">
        <v>578</v>
      </c>
      <c r="F92" s="104">
        <v>40</v>
      </c>
      <c r="G92" s="104">
        <v>40</v>
      </c>
      <c r="H92" s="104">
        <v>40</v>
      </c>
      <c r="I92" s="104">
        <v>40</v>
      </c>
      <c r="J92" s="104">
        <v>400</v>
      </c>
      <c r="K92" s="104">
        <v>0</v>
      </c>
      <c r="L92" s="104">
        <v>0</v>
      </c>
      <c r="M92" s="104">
        <v>0</v>
      </c>
      <c r="N92" s="104">
        <v>0</v>
      </c>
      <c r="O92" s="104">
        <v>0</v>
      </c>
      <c r="P92" s="104">
        <v>326</v>
      </c>
      <c r="Q92" s="104">
        <v>326</v>
      </c>
      <c r="R92" s="104">
        <v>326</v>
      </c>
      <c r="S92" s="104">
        <v>0</v>
      </c>
      <c r="T92" s="104">
        <v>0</v>
      </c>
      <c r="U92" s="104">
        <v>0</v>
      </c>
      <c r="V92" s="104">
        <v>0</v>
      </c>
      <c r="W92" s="104">
        <v>0</v>
      </c>
      <c r="X92" s="104">
        <v>0</v>
      </c>
      <c r="Y92" s="104">
        <v>0</v>
      </c>
      <c r="Z92" s="104">
        <v>0</v>
      </c>
      <c r="AA92" s="104">
        <v>0</v>
      </c>
      <c r="AB92" s="104">
        <v>1</v>
      </c>
      <c r="AC92" s="104">
        <v>1</v>
      </c>
      <c r="AD92" s="104">
        <v>1</v>
      </c>
      <c r="AE92" s="104">
        <v>5</v>
      </c>
      <c r="AF92" s="104">
        <v>210</v>
      </c>
      <c r="AG92" s="104">
        <v>210</v>
      </c>
      <c r="AH92" s="104">
        <v>210</v>
      </c>
      <c r="AI92" s="104">
        <v>840</v>
      </c>
      <c r="AJ92" s="104">
        <v>2875</v>
      </c>
      <c r="AK92" s="109">
        <v>95.546693253572613</v>
      </c>
      <c r="AL92" s="104">
        <v>577</v>
      </c>
      <c r="AM92" s="109">
        <v>99.826989619377159</v>
      </c>
    </row>
    <row r="93" spans="1:40" x14ac:dyDescent="0.25">
      <c r="A93" s="104">
        <v>6</v>
      </c>
      <c r="B93" s="104" t="s">
        <v>388</v>
      </c>
      <c r="C93" s="104"/>
      <c r="D93" s="104">
        <v>1338</v>
      </c>
      <c r="E93" s="104">
        <v>296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v>1</v>
      </c>
      <c r="Y93" s="104">
        <v>1</v>
      </c>
      <c r="Z93" s="104">
        <v>25</v>
      </c>
      <c r="AA93" s="104">
        <v>125</v>
      </c>
      <c r="AB93" s="104">
        <v>0</v>
      </c>
      <c r="AC93" s="104">
        <v>0</v>
      </c>
      <c r="AD93" s="104">
        <v>0</v>
      </c>
      <c r="AE93" s="104">
        <v>0</v>
      </c>
      <c r="AF93" s="104">
        <v>175</v>
      </c>
      <c r="AG93" s="104">
        <v>175</v>
      </c>
      <c r="AH93" s="104">
        <v>175</v>
      </c>
      <c r="AI93" s="104">
        <v>875</v>
      </c>
      <c r="AJ93" s="104">
        <v>1000</v>
      </c>
      <c r="AK93" s="109">
        <v>74.738415545590428</v>
      </c>
      <c r="AL93" s="104">
        <v>200</v>
      </c>
      <c r="AM93" s="109">
        <v>67.567567567567565</v>
      </c>
    </row>
    <row r="94" spans="1:40" x14ac:dyDescent="0.25">
      <c r="A94" s="104">
        <v>7</v>
      </c>
      <c r="B94" s="104" t="s">
        <v>387</v>
      </c>
      <c r="C94" s="104"/>
      <c r="D94" s="104">
        <v>420</v>
      </c>
      <c r="E94" s="104">
        <v>178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104">
        <v>0</v>
      </c>
      <c r="M94" s="104">
        <v>0</v>
      </c>
      <c r="N94" s="104">
        <v>0</v>
      </c>
      <c r="O94" s="104">
        <v>0</v>
      </c>
      <c r="P94" s="104">
        <v>0</v>
      </c>
      <c r="Q94" s="104">
        <v>0</v>
      </c>
      <c r="R94" s="104">
        <v>0</v>
      </c>
      <c r="S94" s="104">
        <v>0</v>
      </c>
      <c r="T94" s="104">
        <v>0</v>
      </c>
      <c r="U94" s="104">
        <v>0</v>
      </c>
      <c r="V94" s="104">
        <v>0</v>
      </c>
      <c r="W94" s="104">
        <v>0</v>
      </c>
      <c r="X94" s="104">
        <v>0</v>
      </c>
      <c r="Y94" s="104">
        <v>0</v>
      </c>
      <c r="Z94" s="104">
        <v>0</v>
      </c>
      <c r="AA94" s="104">
        <v>0</v>
      </c>
      <c r="AB94" s="104">
        <v>0</v>
      </c>
      <c r="AC94" s="104">
        <v>0</v>
      </c>
      <c r="AD94" s="104">
        <v>0</v>
      </c>
      <c r="AE94" s="104">
        <v>0</v>
      </c>
      <c r="AF94" s="104">
        <v>4</v>
      </c>
      <c r="AG94" s="104">
        <v>4</v>
      </c>
      <c r="AH94" s="104">
        <v>100</v>
      </c>
      <c r="AI94" s="104">
        <v>300</v>
      </c>
      <c r="AJ94" s="104">
        <v>300</v>
      </c>
      <c r="AK94" s="109">
        <v>71.428571428571431</v>
      </c>
      <c r="AL94" s="104">
        <v>100</v>
      </c>
      <c r="AM94" s="109">
        <v>56.17977528089888</v>
      </c>
    </row>
    <row r="95" spans="1:40" x14ac:dyDescent="0.25">
      <c r="A95" s="104">
        <v>8</v>
      </c>
      <c r="B95" s="104" t="s">
        <v>386</v>
      </c>
      <c r="C95" s="104"/>
      <c r="D95" s="104">
        <v>2402</v>
      </c>
      <c r="E95" s="104">
        <v>514</v>
      </c>
      <c r="F95" s="104">
        <v>13</v>
      </c>
      <c r="G95" s="104">
        <v>11</v>
      </c>
      <c r="H95" s="104">
        <v>11</v>
      </c>
      <c r="I95" s="104">
        <v>11</v>
      </c>
      <c r="J95" s="104">
        <v>55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501</v>
      </c>
      <c r="Q95" s="104">
        <v>501</v>
      </c>
      <c r="R95" s="104">
        <v>501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v>0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4">
        <v>0</v>
      </c>
      <c r="AI95" s="104">
        <v>0</v>
      </c>
      <c r="AJ95" s="104">
        <v>2059</v>
      </c>
      <c r="AK95" s="109">
        <v>85.720233139050791</v>
      </c>
      <c r="AL95" s="104">
        <v>512</v>
      </c>
      <c r="AM95" s="109">
        <v>99.610894941634243</v>
      </c>
    </row>
    <row r="96" spans="1:40" x14ac:dyDescent="0.25">
      <c r="A96" s="104">
        <v>9</v>
      </c>
      <c r="B96" s="104" t="s">
        <v>385</v>
      </c>
      <c r="C96" s="104"/>
      <c r="D96" s="104">
        <v>2007</v>
      </c>
      <c r="E96" s="104">
        <v>526</v>
      </c>
      <c r="F96" s="104">
        <v>4</v>
      </c>
      <c r="G96" s="104">
        <v>3</v>
      </c>
      <c r="H96" s="104">
        <v>3</v>
      </c>
      <c r="I96" s="104">
        <v>15</v>
      </c>
      <c r="J96" s="104">
        <v>75</v>
      </c>
      <c r="K96" s="104">
        <v>0</v>
      </c>
      <c r="L96" s="104">
        <v>0</v>
      </c>
      <c r="M96" s="104">
        <v>0</v>
      </c>
      <c r="N96" s="104">
        <v>0</v>
      </c>
      <c r="O96" s="104">
        <v>0</v>
      </c>
      <c r="P96" s="104">
        <v>500</v>
      </c>
      <c r="Q96" s="104">
        <v>500</v>
      </c>
      <c r="R96" s="104">
        <v>500</v>
      </c>
      <c r="S96" s="104">
        <v>0</v>
      </c>
      <c r="T96" s="104">
        <v>0</v>
      </c>
      <c r="U96" s="104">
        <v>0</v>
      </c>
      <c r="V96" s="104">
        <v>0</v>
      </c>
      <c r="W96" s="104">
        <v>0</v>
      </c>
      <c r="X96" s="104">
        <v>0</v>
      </c>
      <c r="Y96" s="104">
        <v>0</v>
      </c>
      <c r="Z96" s="104">
        <v>0</v>
      </c>
      <c r="AA96" s="104">
        <v>0</v>
      </c>
      <c r="AB96" s="104">
        <v>0</v>
      </c>
      <c r="AC96" s="104">
        <v>0</v>
      </c>
      <c r="AD96" s="104">
        <v>0</v>
      </c>
      <c r="AE96" s="104">
        <v>0</v>
      </c>
      <c r="AF96" s="104">
        <v>0</v>
      </c>
      <c r="AG96" s="104">
        <v>0</v>
      </c>
      <c r="AH96" s="104">
        <v>0</v>
      </c>
      <c r="AI96" s="104">
        <v>0</v>
      </c>
      <c r="AJ96" s="104">
        <v>1575</v>
      </c>
      <c r="AK96" s="109">
        <v>78.475336322869964</v>
      </c>
      <c r="AL96" s="104">
        <v>515</v>
      </c>
      <c r="AM96" s="109">
        <v>97.908745247148289</v>
      </c>
    </row>
    <row r="97" spans="1:40" x14ac:dyDescent="0.25">
      <c r="A97" s="104">
        <v>10</v>
      </c>
      <c r="B97" s="104" t="s">
        <v>384</v>
      </c>
      <c r="C97" s="104"/>
      <c r="D97" s="104">
        <v>4165</v>
      </c>
      <c r="E97" s="104">
        <v>1288</v>
      </c>
      <c r="F97" s="104">
        <v>169</v>
      </c>
      <c r="G97" s="104">
        <v>156</v>
      </c>
      <c r="H97" s="104">
        <v>156</v>
      </c>
      <c r="I97" s="104">
        <v>780</v>
      </c>
      <c r="J97" s="104">
        <v>2340</v>
      </c>
      <c r="K97" s="104">
        <v>0</v>
      </c>
      <c r="L97" s="104">
        <v>0</v>
      </c>
      <c r="M97" s="104">
        <v>0</v>
      </c>
      <c r="N97" s="104">
        <v>0</v>
      </c>
      <c r="O97" s="104">
        <v>0</v>
      </c>
      <c r="P97" s="104">
        <v>508</v>
      </c>
      <c r="Q97" s="104">
        <v>508</v>
      </c>
      <c r="R97" s="104">
        <v>508</v>
      </c>
      <c r="S97" s="104">
        <v>0</v>
      </c>
      <c r="T97" s="104">
        <v>0</v>
      </c>
      <c r="U97" s="104">
        <v>0</v>
      </c>
      <c r="V97" s="104">
        <v>0</v>
      </c>
      <c r="W97" s="104">
        <v>0</v>
      </c>
      <c r="X97" s="104">
        <v>0</v>
      </c>
      <c r="Y97" s="104">
        <v>0</v>
      </c>
      <c r="Z97" s="104">
        <v>0</v>
      </c>
      <c r="AA97" s="104">
        <v>0</v>
      </c>
      <c r="AB97" s="104">
        <v>0</v>
      </c>
      <c r="AC97" s="104">
        <v>0</v>
      </c>
      <c r="AD97" s="104">
        <v>0</v>
      </c>
      <c r="AE97" s="104">
        <v>0</v>
      </c>
      <c r="AF97" s="104">
        <v>0</v>
      </c>
      <c r="AG97" s="104">
        <v>0</v>
      </c>
      <c r="AH97" s="104">
        <v>0</v>
      </c>
      <c r="AI97" s="104">
        <v>0</v>
      </c>
      <c r="AJ97" s="104">
        <v>3864</v>
      </c>
      <c r="AK97" s="109">
        <v>92.773109243697476</v>
      </c>
      <c r="AL97" s="104">
        <v>1288</v>
      </c>
      <c r="AM97" s="109">
        <v>100</v>
      </c>
    </row>
    <row r="98" spans="1:40" x14ac:dyDescent="0.25">
      <c r="A98" s="104">
        <v>11</v>
      </c>
      <c r="B98" s="104" t="s">
        <v>383</v>
      </c>
      <c r="C98" s="104"/>
      <c r="D98" s="104">
        <v>3141</v>
      </c>
      <c r="E98" s="104">
        <v>1208</v>
      </c>
      <c r="F98" s="104">
        <v>26</v>
      </c>
      <c r="G98" s="104">
        <v>26</v>
      </c>
      <c r="H98" s="104">
        <v>26</v>
      </c>
      <c r="I98" s="104">
        <v>260</v>
      </c>
      <c r="J98" s="104">
        <v>1300</v>
      </c>
      <c r="K98" s="104">
        <v>0</v>
      </c>
      <c r="L98" s="104">
        <v>0</v>
      </c>
      <c r="M98" s="104">
        <v>0</v>
      </c>
      <c r="N98" s="104">
        <v>0</v>
      </c>
      <c r="O98" s="104">
        <v>0</v>
      </c>
      <c r="P98" s="104">
        <v>3</v>
      </c>
      <c r="Q98" s="104">
        <v>3</v>
      </c>
      <c r="R98" s="104">
        <v>3</v>
      </c>
      <c r="S98" s="104">
        <v>0</v>
      </c>
      <c r="T98" s="104">
        <v>0</v>
      </c>
      <c r="U98" s="104">
        <v>0</v>
      </c>
      <c r="V98" s="104">
        <v>0</v>
      </c>
      <c r="W98" s="104">
        <v>0</v>
      </c>
      <c r="X98" s="104">
        <v>0</v>
      </c>
      <c r="Y98" s="104">
        <v>0</v>
      </c>
      <c r="Z98" s="104">
        <v>0</v>
      </c>
      <c r="AA98" s="104">
        <v>0</v>
      </c>
      <c r="AB98" s="104">
        <v>0</v>
      </c>
      <c r="AC98" s="104">
        <v>0</v>
      </c>
      <c r="AD98" s="104">
        <v>0</v>
      </c>
      <c r="AE98" s="104">
        <v>0</v>
      </c>
      <c r="AF98" s="104">
        <v>420</v>
      </c>
      <c r="AG98" s="104">
        <v>420</v>
      </c>
      <c r="AH98" s="104">
        <v>420</v>
      </c>
      <c r="AI98" s="104">
        <v>1680</v>
      </c>
      <c r="AJ98" s="104">
        <v>2995</v>
      </c>
      <c r="AK98" s="109">
        <v>95.351798790194209</v>
      </c>
      <c r="AL98" s="104">
        <v>683</v>
      </c>
      <c r="AM98" s="109">
        <v>56.539735099337754</v>
      </c>
    </row>
    <row r="99" spans="1:40" x14ac:dyDescent="0.25">
      <c r="A99" s="107"/>
      <c r="B99" s="107" t="s">
        <v>382</v>
      </c>
      <c r="C99" s="107"/>
      <c r="D99" s="151">
        <f t="shared" ref="D99:AJ99" si="24">SUM(D88:D98)</f>
        <v>29005</v>
      </c>
      <c r="E99" s="151">
        <f t="shared" si="24"/>
        <v>7425</v>
      </c>
      <c r="F99" s="151">
        <f t="shared" si="24"/>
        <v>365</v>
      </c>
      <c r="G99" s="151">
        <f t="shared" si="24"/>
        <v>347</v>
      </c>
      <c r="H99" s="151">
        <f t="shared" si="24"/>
        <v>347</v>
      </c>
      <c r="I99" s="151">
        <f t="shared" si="24"/>
        <v>1777</v>
      </c>
      <c r="J99" s="151">
        <f t="shared" si="24"/>
        <v>7003</v>
      </c>
      <c r="K99" s="151">
        <f t="shared" si="24"/>
        <v>0</v>
      </c>
      <c r="L99" s="151">
        <f t="shared" si="24"/>
        <v>0</v>
      </c>
      <c r="M99" s="151">
        <f t="shared" si="24"/>
        <v>0</v>
      </c>
      <c r="N99" s="151">
        <f t="shared" si="24"/>
        <v>0</v>
      </c>
      <c r="O99" s="151">
        <f t="shared" si="24"/>
        <v>0</v>
      </c>
      <c r="P99" s="151">
        <f t="shared" si="24"/>
        <v>3164</v>
      </c>
      <c r="Q99" s="151">
        <f t="shared" si="24"/>
        <v>3164</v>
      </c>
      <c r="R99" s="151">
        <f t="shared" si="24"/>
        <v>3164</v>
      </c>
      <c r="S99" s="151">
        <f t="shared" si="24"/>
        <v>0</v>
      </c>
      <c r="T99" s="151">
        <f t="shared" si="24"/>
        <v>0</v>
      </c>
      <c r="U99" s="151">
        <f t="shared" si="24"/>
        <v>0</v>
      </c>
      <c r="V99" s="151">
        <f t="shared" si="24"/>
        <v>0</v>
      </c>
      <c r="W99" s="151">
        <f t="shared" si="24"/>
        <v>0</v>
      </c>
      <c r="X99" s="151">
        <f t="shared" si="24"/>
        <v>1</v>
      </c>
      <c r="Y99" s="151">
        <f t="shared" si="24"/>
        <v>1</v>
      </c>
      <c r="Z99" s="151">
        <f t="shared" si="24"/>
        <v>25</v>
      </c>
      <c r="AA99" s="151">
        <f t="shared" si="24"/>
        <v>125</v>
      </c>
      <c r="AB99" s="151">
        <f t="shared" si="24"/>
        <v>1</v>
      </c>
      <c r="AC99" s="151">
        <f t="shared" si="24"/>
        <v>1</v>
      </c>
      <c r="AD99" s="151">
        <f t="shared" si="24"/>
        <v>1</v>
      </c>
      <c r="AE99" s="151">
        <f t="shared" si="24"/>
        <v>5</v>
      </c>
      <c r="AF99" s="151">
        <f t="shared" si="24"/>
        <v>1348</v>
      </c>
      <c r="AG99" s="151">
        <f t="shared" si="24"/>
        <v>1348</v>
      </c>
      <c r="AH99" s="151">
        <f t="shared" si="24"/>
        <v>1444</v>
      </c>
      <c r="AI99" s="151">
        <f t="shared" si="24"/>
        <v>6398</v>
      </c>
      <c r="AJ99" s="151">
        <f t="shared" si="24"/>
        <v>26321</v>
      </c>
      <c r="AK99" s="106">
        <f t="shared" ref="AK99:AK130" si="25">AJ99/D99*100</f>
        <v>90.746423030511977</v>
      </c>
      <c r="AL99" s="151">
        <f>SUM(AL88:AL98)</f>
        <v>6411</v>
      </c>
      <c r="AM99" s="106">
        <f t="shared" ref="AM99:AM134" si="26">AL99/E99*100</f>
        <v>86.343434343434339</v>
      </c>
      <c r="AN99" s="99">
        <v>84.6</v>
      </c>
    </row>
    <row r="100" spans="1:40" x14ac:dyDescent="0.25">
      <c r="A100" s="104">
        <v>1</v>
      </c>
      <c r="B100" s="104" t="s">
        <v>381</v>
      </c>
      <c r="C100" s="104">
        <v>1</v>
      </c>
      <c r="D100" s="104">
        <v>3285</v>
      </c>
      <c r="E100" s="104">
        <v>804</v>
      </c>
      <c r="F100" s="104">
        <v>107</v>
      </c>
      <c r="G100" s="104">
        <v>107</v>
      </c>
      <c r="H100" s="104">
        <v>107</v>
      </c>
      <c r="I100" s="104">
        <v>432</v>
      </c>
      <c r="J100" s="104">
        <v>1927</v>
      </c>
      <c r="K100" s="104">
        <v>0</v>
      </c>
      <c r="L100" s="104">
        <v>0</v>
      </c>
      <c r="M100" s="104">
        <v>0</v>
      </c>
      <c r="N100" s="104">
        <v>0</v>
      </c>
      <c r="O100" s="104">
        <v>0</v>
      </c>
      <c r="P100" s="104">
        <v>72</v>
      </c>
      <c r="Q100" s="104">
        <v>72</v>
      </c>
      <c r="R100" s="104">
        <v>205</v>
      </c>
      <c r="S100" s="104">
        <v>1005</v>
      </c>
      <c r="T100" s="104">
        <v>0</v>
      </c>
      <c r="U100" s="104">
        <v>0</v>
      </c>
      <c r="V100" s="104">
        <v>0</v>
      </c>
      <c r="W100" s="104">
        <v>0</v>
      </c>
      <c r="X100" s="104">
        <v>0</v>
      </c>
      <c r="Y100" s="104">
        <v>0</v>
      </c>
      <c r="Z100" s="104">
        <v>0</v>
      </c>
      <c r="AA100" s="104">
        <v>0</v>
      </c>
      <c r="AB100" s="104">
        <v>0</v>
      </c>
      <c r="AC100" s="104">
        <v>0</v>
      </c>
      <c r="AD100" s="104">
        <v>0</v>
      </c>
      <c r="AE100" s="104">
        <v>0</v>
      </c>
      <c r="AF100" s="104">
        <v>1</v>
      </c>
      <c r="AG100" s="104">
        <v>1</v>
      </c>
      <c r="AH100" s="104">
        <v>167</v>
      </c>
      <c r="AI100" s="104">
        <v>205</v>
      </c>
      <c r="AJ100" s="164">
        <f t="shared" ref="AJ100:AJ111" si="27">J100+O100+S100+W100+AA100+AE100+AI100</f>
        <v>3137</v>
      </c>
      <c r="AK100" s="108">
        <f t="shared" si="25"/>
        <v>95.494672754946734</v>
      </c>
      <c r="AL100" s="163">
        <f t="shared" ref="AL100:AL111" si="28">AH100+AD100+Z100+V100+R100+N100+I100</f>
        <v>804</v>
      </c>
      <c r="AM100" s="106">
        <f t="shared" si="26"/>
        <v>100</v>
      </c>
    </row>
    <row r="101" spans="1:40" x14ac:dyDescent="0.25">
      <c r="A101" s="104">
        <v>2</v>
      </c>
      <c r="B101" s="104" t="s">
        <v>380</v>
      </c>
      <c r="C101" s="104">
        <v>1</v>
      </c>
      <c r="D101" s="104">
        <v>2436</v>
      </c>
      <c r="E101" s="104">
        <v>623</v>
      </c>
      <c r="F101" s="104">
        <v>24</v>
      </c>
      <c r="G101" s="104">
        <v>24</v>
      </c>
      <c r="H101" s="104">
        <v>24</v>
      </c>
      <c r="I101" s="104">
        <v>300</v>
      </c>
      <c r="J101" s="104">
        <v>996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50</v>
      </c>
      <c r="Q101" s="104">
        <v>50</v>
      </c>
      <c r="R101" s="104">
        <v>65</v>
      </c>
      <c r="S101" s="104">
        <v>600</v>
      </c>
      <c r="T101" s="104">
        <v>0</v>
      </c>
      <c r="U101" s="104">
        <v>0</v>
      </c>
      <c r="V101" s="104">
        <v>0</v>
      </c>
      <c r="W101" s="104">
        <v>0</v>
      </c>
      <c r="X101" s="104">
        <v>0</v>
      </c>
      <c r="Y101" s="104">
        <v>0</v>
      </c>
      <c r="Z101" s="104">
        <v>0</v>
      </c>
      <c r="AA101" s="104">
        <v>0</v>
      </c>
      <c r="AB101" s="104">
        <v>0</v>
      </c>
      <c r="AC101" s="104">
        <v>0</v>
      </c>
      <c r="AD101" s="104">
        <v>0</v>
      </c>
      <c r="AE101" s="104">
        <v>0</v>
      </c>
      <c r="AF101" s="104">
        <v>200</v>
      </c>
      <c r="AG101" s="104">
        <v>200</v>
      </c>
      <c r="AH101" s="104">
        <v>258</v>
      </c>
      <c r="AI101" s="104">
        <v>840</v>
      </c>
      <c r="AJ101" s="164">
        <f t="shared" si="27"/>
        <v>2436</v>
      </c>
      <c r="AK101" s="108">
        <f t="shared" si="25"/>
        <v>100</v>
      </c>
      <c r="AL101" s="163">
        <f t="shared" si="28"/>
        <v>623</v>
      </c>
      <c r="AM101" s="106">
        <f t="shared" si="26"/>
        <v>100</v>
      </c>
    </row>
    <row r="102" spans="1:40" x14ac:dyDescent="0.25">
      <c r="A102" s="104">
        <v>3</v>
      </c>
      <c r="B102" s="104" t="s">
        <v>379</v>
      </c>
      <c r="C102" s="104">
        <v>1</v>
      </c>
      <c r="D102" s="104">
        <v>970</v>
      </c>
      <c r="E102" s="104">
        <v>246</v>
      </c>
      <c r="F102" s="166">
        <v>9</v>
      </c>
      <c r="G102" s="166">
        <v>9</v>
      </c>
      <c r="H102" s="166">
        <v>9</v>
      </c>
      <c r="I102" s="104">
        <v>96</v>
      </c>
      <c r="J102" s="104">
        <v>495</v>
      </c>
      <c r="K102" s="104">
        <v>0</v>
      </c>
      <c r="L102" s="104">
        <v>0</v>
      </c>
      <c r="M102" s="104">
        <v>0</v>
      </c>
      <c r="N102" s="104">
        <v>0</v>
      </c>
      <c r="O102" s="104">
        <v>0</v>
      </c>
      <c r="P102" s="166">
        <v>13</v>
      </c>
      <c r="Q102" s="166">
        <v>13</v>
      </c>
      <c r="R102" s="104">
        <v>150</v>
      </c>
      <c r="S102" s="104">
        <v>475</v>
      </c>
      <c r="T102" s="104">
        <v>0</v>
      </c>
      <c r="U102" s="104">
        <v>0</v>
      </c>
      <c r="V102" s="104">
        <v>0</v>
      </c>
      <c r="W102" s="104">
        <v>0</v>
      </c>
      <c r="X102" s="104">
        <v>0</v>
      </c>
      <c r="Y102" s="104">
        <v>0</v>
      </c>
      <c r="Z102" s="104">
        <v>0</v>
      </c>
      <c r="AA102" s="104">
        <v>0</v>
      </c>
      <c r="AB102" s="104">
        <v>0</v>
      </c>
      <c r="AC102" s="104">
        <v>0</v>
      </c>
      <c r="AD102" s="104">
        <v>0</v>
      </c>
      <c r="AE102" s="104">
        <v>0</v>
      </c>
      <c r="AF102" s="104">
        <v>0</v>
      </c>
      <c r="AG102" s="104">
        <v>0</v>
      </c>
      <c r="AH102" s="104">
        <v>0</v>
      </c>
      <c r="AI102" s="104">
        <v>0</v>
      </c>
      <c r="AJ102" s="164">
        <f t="shared" si="27"/>
        <v>970</v>
      </c>
      <c r="AK102" s="108">
        <f t="shared" si="25"/>
        <v>100</v>
      </c>
      <c r="AL102" s="163">
        <f t="shared" si="28"/>
        <v>246</v>
      </c>
      <c r="AM102" s="106">
        <f t="shared" si="26"/>
        <v>100</v>
      </c>
    </row>
    <row r="103" spans="1:40" x14ac:dyDescent="0.25">
      <c r="A103" s="104">
        <v>4</v>
      </c>
      <c r="B103" s="104" t="s">
        <v>378</v>
      </c>
      <c r="C103" s="104">
        <v>1</v>
      </c>
      <c r="D103" s="104">
        <v>1235</v>
      </c>
      <c r="E103" s="104">
        <v>315</v>
      </c>
      <c r="F103" s="104">
        <v>25</v>
      </c>
      <c r="G103" s="104">
        <v>25</v>
      </c>
      <c r="H103" s="104">
        <v>25</v>
      </c>
      <c r="I103" s="104">
        <v>125</v>
      </c>
      <c r="J103" s="104">
        <v>833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170</v>
      </c>
      <c r="Q103" s="104">
        <v>170</v>
      </c>
      <c r="R103" s="104">
        <v>190</v>
      </c>
      <c r="S103" s="104">
        <v>402</v>
      </c>
      <c r="T103" s="104">
        <v>0</v>
      </c>
      <c r="U103" s="104">
        <v>0</v>
      </c>
      <c r="V103" s="104">
        <v>0</v>
      </c>
      <c r="W103" s="104">
        <v>0</v>
      </c>
      <c r="X103" s="104">
        <v>0</v>
      </c>
      <c r="Y103" s="104">
        <v>0</v>
      </c>
      <c r="Z103" s="104">
        <v>0</v>
      </c>
      <c r="AA103" s="104">
        <v>0</v>
      </c>
      <c r="AB103" s="104">
        <v>0</v>
      </c>
      <c r="AC103" s="104">
        <v>0</v>
      </c>
      <c r="AD103" s="104">
        <v>0</v>
      </c>
      <c r="AE103" s="104">
        <v>0</v>
      </c>
      <c r="AF103" s="104">
        <v>0</v>
      </c>
      <c r="AG103" s="104">
        <v>0</v>
      </c>
      <c r="AH103" s="104">
        <v>0</v>
      </c>
      <c r="AI103" s="104">
        <v>0</v>
      </c>
      <c r="AJ103" s="164">
        <f t="shared" si="27"/>
        <v>1235</v>
      </c>
      <c r="AK103" s="108">
        <f t="shared" si="25"/>
        <v>100</v>
      </c>
      <c r="AL103" s="163">
        <f t="shared" si="28"/>
        <v>315</v>
      </c>
      <c r="AM103" s="106">
        <f t="shared" si="26"/>
        <v>100</v>
      </c>
    </row>
    <row r="104" spans="1:40" x14ac:dyDescent="0.25">
      <c r="A104" s="104">
        <v>5</v>
      </c>
      <c r="B104" s="104" t="s">
        <v>377</v>
      </c>
      <c r="C104" s="104">
        <v>1</v>
      </c>
      <c r="D104" s="104">
        <v>1229</v>
      </c>
      <c r="E104" s="104">
        <v>343</v>
      </c>
      <c r="F104" s="104">
        <v>19</v>
      </c>
      <c r="G104" s="104">
        <v>19</v>
      </c>
      <c r="H104" s="104">
        <v>19</v>
      </c>
      <c r="I104" s="104">
        <v>95</v>
      </c>
      <c r="J104" s="104">
        <v>617</v>
      </c>
      <c r="K104" s="104">
        <v>0</v>
      </c>
      <c r="L104" s="104">
        <v>0</v>
      </c>
      <c r="M104" s="104">
        <v>0</v>
      </c>
      <c r="N104" s="104">
        <v>0</v>
      </c>
      <c r="O104" s="104">
        <v>0</v>
      </c>
      <c r="P104" s="104">
        <v>138</v>
      </c>
      <c r="Q104" s="104">
        <v>138</v>
      </c>
      <c r="R104" s="104">
        <v>248</v>
      </c>
      <c r="S104" s="104">
        <v>612</v>
      </c>
      <c r="T104" s="104">
        <v>0</v>
      </c>
      <c r="U104" s="104">
        <v>0</v>
      </c>
      <c r="V104" s="104">
        <v>0</v>
      </c>
      <c r="W104" s="104">
        <v>0</v>
      </c>
      <c r="X104" s="104">
        <v>0</v>
      </c>
      <c r="Y104" s="104">
        <v>0</v>
      </c>
      <c r="Z104" s="104">
        <v>0</v>
      </c>
      <c r="AA104" s="104">
        <v>0</v>
      </c>
      <c r="AB104" s="104">
        <v>0</v>
      </c>
      <c r="AC104" s="104">
        <v>0</v>
      </c>
      <c r="AD104" s="104">
        <v>0</v>
      </c>
      <c r="AE104" s="104">
        <v>0</v>
      </c>
      <c r="AF104" s="104">
        <v>0</v>
      </c>
      <c r="AG104" s="104">
        <v>0</v>
      </c>
      <c r="AH104" s="104">
        <v>0</v>
      </c>
      <c r="AI104" s="104">
        <v>0</v>
      </c>
      <c r="AJ104" s="164">
        <f t="shared" si="27"/>
        <v>1229</v>
      </c>
      <c r="AK104" s="108">
        <f t="shared" si="25"/>
        <v>100</v>
      </c>
      <c r="AL104" s="163">
        <f t="shared" si="28"/>
        <v>343</v>
      </c>
      <c r="AM104" s="106">
        <f t="shared" si="26"/>
        <v>100</v>
      </c>
    </row>
    <row r="105" spans="1:40" x14ac:dyDescent="0.25">
      <c r="A105" s="104">
        <v>6</v>
      </c>
      <c r="B105" s="104" t="s">
        <v>376</v>
      </c>
      <c r="C105" s="104">
        <v>1</v>
      </c>
      <c r="D105" s="104">
        <v>1516</v>
      </c>
      <c r="E105" s="104">
        <v>392</v>
      </c>
      <c r="F105" s="104">
        <v>48</v>
      </c>
      <c r="G105" s="104">
        <v>48</v>
      </c>
      <c r="H105" s="104">
        <v>48</v>
      </c>
      <c r="I105" s="104">
        <v>240</v>
      </c>
      <c r="J105" s="104">
        <v>813</v>
      </c>
      <c r="K105" s="104">
        <v>0</v>
      </c>
      <c r="L105" s="104">
        <v>0</v>
      </c>
      <c r="M105" s="104">
        <v>0</v>
      </c>
      <c r="N105" s="104">
        <v>0</v>
      </c>
      <c r="O105" s="104">
        <v>0</v>
      </c>
      <c r="P105" s="104">
        <v>130</v>
      </c>
      <c r="Q105" s="104">
        <v>130</v>
      </c>
      <c r="R105" s="104">
        <v>152</v>
      </c>
      <c r="S105" s="104">
        <v>703</v>
      </c>
      <c r="T105" s="104">
        <v>0</v>
      </c>
      <c r="U105" s="104">
        <v>0</v>
      </c>
      <c r="V105" s="104">
        <v>0</v>
      </c>
      <c r="W105" s="104">
        <v>0</v>
      </c>
      <c r="X105" s="104">
        <v>0</v>
      </c>
      <c r="Y105" s="104">
        <v>0</v>
      </c>
      <c r="Z105" s="104">
        <v>0</v>
      </c>
      <c r="AA105" s="104">
        <v>0</v>
      </c>
      <c r="AB105" s="104">
        <v>0</v>
      </c>
      <c r="AC105" s="104">
        <v>0</v>
      </c>
      <c r="AD105" s="104">
        <v>0</v>
      </c>
      <c r="AE105" s="104">
        <v>0</v>
      </c>
      <c r="AF105" s="104">
        <v>0</v>
      </c>
      <c r="AG105" s="104">
        <v>0</v>
      </c>
      <c r="AH105" s="104">
        <v>0</v>
      </c>
      <c r="AI105" s="104">
        <v>0</v>
      </c>
      <c r="AJ105" s="164">
        <f t="shared" si="27"/>
        <v>1516</v>
      </c>
      <c r="AK105" s="108">
        <f t="shared" si="25"/>
        <v>100</v>
      </c>
      <c r="AL105" s="163">
        <f t="shared" si="28"/>
        <v>392</v>
      </c>
      <c r="AM105" s="106">
        <f t="shared" si="26"/>
        <v>100</v>
      </c>
    </row>
    <row r="106" spans="1:40" x14ac:dyDescent="0.25">
      <c r="A106" s="104">
        <v>7</v>
      </c>
      <c r="B106" s="104" t="s">
        <v>375</v>
      </c>
      <c r="C106" s="104">
        <v>1</v>
      </c>
      <c r="D106" s="104">
        <v>1348</v>
      </c>
      <c r="E106" s="104">
        <v>346</v>
      </c>
      <c r="F106" s="104">
        <v>18</v>
      </c>
      <c r="G106" s="104">
        <v>18</v>
      </c>
      <c r="H106" s="104">
        <v>18</v>
      </c>
      <c r="I106" s="104">
        <v>139</v>
      </c>
      <c r="J106" s="104">
        <v>943</v>
      </c>
      <c r="K106" s="104">
        <v>0</v>
      </c>
      <c r="L106" s="104">
        <v>0</v>
      </c>
      <c r="M106" s="104">
        <v>0</v>
      </c>
      <c r="N106" s="104">
        <v>0</v>
      </c>
      <c r="O106" s="104">
        <v>0</v>
      </c>
      <c r="P106" s="104">
        <v>45</v>
      </c>
      <c r="Q106" s="104">
        <v>45</v>
      </c>
      <c r="R106" s="104">
        <v>207</v>
      </c>
      <c r="S106" s="104">
        <v>405</v>
      </c>
      <c r="T106" s="104">
        <v>0</v>
      </c>
      <c r="U106" s="104">
        <v>0</v>
      </c>
      <c r="V106" s="104">
        <v>0</v>
      </c>
      <c r="W106" s="104">
        <v>0</v>
      </c>
      <c r="X106" s="104">
        <v>0</v>
      </c>
      <c r="Y106" s="104">
        <v>0</v>
      </c>
      <c r="Z106" s="104">
        <v>0</v>
      </c>
      <c r="AA106" s="104">
        <v>0</v>
      </c>
      <c r="AB106" s="104">
        <v>0</v>
      </c>
      <c r="AC106" s="104">
        <v>0</v>
      </c>
      <c r="AD106" s="104">
        <v>0</v>
      </c>
      <c r="AE106" s="104">
        <v>0</v>
      </c>
      <c r="AF106" s="104">
        <v>0</v>
      </c>
      <c r="AG106" s="104">
        <v>0</v>
      </c>
      <c r="AH106" s="104">
        <v>0</v>
      </c>
      <c r="AI106" s="104">
        <v>0</v>
      </c>
      <c r="AJ106" s="164">
        <f t="shared" si="27"/>
        <v>1348</v>
      </c>
      <c r="AK106" s="108">
        <f t="shared" si="25"/>
        <v>100</v>
      </c>
      <c r="AL106" s="163">
        <f t="shared" si="28"/>
        <v>346</v>
      </c>
      <c r="AM106" s="106">
        <f t="shared" si="26"/>
        <v>100</v>
      </c>
    </row>
    <row r="107" spans="1:40" x14ac:dyDescent="0.25">
      <c r="A107" s="104">
        <v>8</v>
      </c>
      <c r="B107" s="104" t="s">
        <v>374</v>
      </c>
      <c r="C107" s="104">
        <v>1</v>
      </c>
      <c r="D107" s="104">
        <v>3339</v>
      </c>
      <c r="E107" s="104">
        <v>876</v>
      </c>
      <c r="F107" s="104">
        <v>113</v>
      </c>
      <c r="G107" s="104">
        <v>113</v>
      </c>
      <c r="H107" s="104">
        <v>113</v>
      </c>
      <c r="I107" s="104">
        <v>240</v>
      </c>
      <c r="J107" s="104">
        <f>I107*4</f>
        <v>960</v>
      </c>
      <c r="K107" s="104">
        <v>0</v>
      </c>
      <c r="L107" s="104">
        <v>0</v>
      </c>
      <c r="M107" s="104">
        <v>0</v>
      </c>
      <c r="N107" s="104">
        <v>0</v>
      </c>
      <c r="O107" s="104">
        <v>0</v>
      </c>
      <c r="P107" s="104">
        <v>339</v>
      </c>
      <c r="Q107" s="104">
        <v>337</v>
      </c>
      <c r="R107" s="104">
        <v>539</v>
      </c>
      <c r="S107" s="104">
        <f>R107*4</f>
        <v>2156</v>
      </c>
      <c r="T107" s="104">
        <v>0</v>
      </c>
      <c r="U107" s="104">
        <v>0</v>
      </c>
      <c r="V107" s="104">
        <v>0</v>
      </c>
      <c r="W107" s="104">
        <v>0</v>
      </c>
      <c r="X107" s="104">
        <v>0</v>
      </c>
      <c r="Y107" s="104">
        <v>0</v>
      </c>
      <c r="Z107" s="104"/>
      <c r="AA107" s="104">
        <v>0</v>
      </c>
      <c r="AB107" s="104">
        <v>0</v>
      </c>
      <c r="AC107" s="104">
        <v>0</v>
      </c>
      <c r="AD107" s="104">
        <v>0</v>
      </c>
      <c r="AE107" s="104">
        <v>0</v>
      </c>
      <c r="AF107" s="104">
        <v>50</v>
      </c>
      <c r="AG107" s="104">
        <v>50</v>
      </c>
      <c r="AH107" s="104">
        <v>70</v>
      </c>
      <c r="AI107" s="104">
        <f>AH107*3</f>
        <v>210</v>
      </c>
      <c r="AJ107" s="164">
        <f t="shared" si="27"/>
        <v>3326</v>
      </c>
      <c r="AK107" s="108">
        <f t="shared" si="25"/>
        <v>99.61066187481282</v>
      </c>
      <c r="AL107" s="163">
        <f t="shared" si="28"/>
        <v>849</v>
      </c>
      <c r="AM107" s="106">
        <f t="shared" si="26"/>
        <v>96.917808219178085</v>
      </c>
    </row>
    <row r="108" spans="1:40" x14ac:dyDescent="0.25">
      <c r="A108" s="104">
        <v>9</v>
      </c>
      <c r="B108" s="104" t="s">
        <v>373</v>
      </c>
      <c r="C108" s="104">
        <v>1</v>
      </c>
      <c r="D108" s="104">
        <v>4855</v>
      </c>
      <c r="E108" s="104">
        <v>1221</v>
      </c>
      <c r="F108" s="104">
        <v>99</v>
      </c>
      <c r="G108" s="104">
        <v>99</v>
      </c>
      <c r="H108" s="104">
        <v>99</v>
      </c>
      <c r="I108" s="104">
        <v>495</v>
      </c>
      <c r="J108" s="104">
        <v>2670</v>
      </c>
      <c r="K108" s="104">
        <v>0</v>
      </c>
      <c r="L108" s="104">
        <v>0</v>
      </c>
      <c r="M108" s="104">
        <v>0</v>
      </c>
      <c r="N108" s="104">
        <v>0</v>
      </c>
      <c r="O108" s="104">
        <v>0</v>
      </c>
      <c r="P108" s="104">
        <v>90</v>
      </c>
      <c r="Q108" s="104">
        <v>95</v>
      </c>
      <c r="R108" s="104">
        <v>570</v>
      </c>
      <c r="S108" s="104">
        <v>1645</v>
      </c>
      <c r="T108" s="104">
        <v>0</v>
      </c>
      <c r="U108" s="104">
        <v>0</v>
      </c>
      <c r="V108" s="104">
        <v>0</v>
      </c>
      <c r="W108" s="104">
        <v>0</v>
      </c>
      <c r="X108" s="104">
        <v>0</v>
      </c>
      <c r="Y108" s="104">
        <v>0</v>
      </c>
      <c r="Z108" s="104">
        <v>0</v>
      </c>
      <c r="AA108" s="104">
        <v>0</v>
      </c>
      <c r="AB108" s="104">
        <v>0</v>
      </c>
      <c r="AC108" s="104">
        <v>0</v>
      </c>
      <c r="AD108" s="104">
        <v>0</v>
      </c>
      <c r="AE108" s="104">
        <v>0</v>
      </c>
      <c r="AF108" s="104">
        <v>60</v>
      </c>
      <c r="AG108" s="104">
        <v>60</v>
      </c>
      <c r="AH108" s="104">
        <v>60</v>
      </c>
      <c r="AI108" s="104">
        <v>240</v>
      </c>
      <c r="AJ108" s="164">
        <f t="shared" si="27"/>
        <v>4555</v>
      </c>
      <c r="AK108" s="108">
        <f t="shared" si="25"/>
        <v>93.820803295571579</v>
      </c>
      <c r="AL108" s="163">
        <f t="shared" si="28"/>
        <v>1125</v>
      </c>
      <c r="AM108" s="106">
        <f t="shared" si="26"/>
        <v>92.137592137592137</v>
      </c>
    </row>
    <row r="109" spans="1:40" x14ac:dyDescent="0.25">
      <c r="A109" s="104">
        <v>10</v>
      </c>
      <c r="B109" s="104" t="s">
        <v>372</v>
      </c>
      <c r="C109" s="104">
        <v>1</v>
      </c>
      <c r="D109" s="104">
        <v>3176</v>
      </c>
      <c r="E109" s="104">
        <v>942</v>
      </c>
      <c r="F109" s="104">
        <v>49</v>
      </c>
      <c r="G109" s="104">
        <v>49</v>
      </c>
      <c r="H109" s="104">
        <v>49</v>
      </c>
      <c r="I109" s="104">
        <v>245</v>
      </c>
      <c r="J109" s="104">
        <v>1225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210</v>
      </c>
      <c r="Q109" s="104">
        <v>210</v>
      </c>
      <c r="R109" s="104">
        <v>633</v>
      </c>
      <c r="S109" s="104">
        <v>1741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40</v>
      </c>
      <c r="AG109" s="104">
        <v>0</v>
      </c>
      <c r="AH109" s="104">
        <v>0</v>
      </c>
      <c r="AI109" s="104">
        <v>0</v>
      </c>
      <c r="AJ109" s="164">
        <f t="shared" si="27"/>
        <v>2966</v>
      </c>
      <c r="AK109" s="108">
        <f t="shared" si="25"/>
        <v>93.387909319899236</v>
      </c>
      <c r="AL109" s="163">
        <f t="shared" si="28"/>
        <v>878</v>
      </c>
      <c r="AM109" s="106">
        <f t="shared" si="26"/>
        <v>93.205944798301488</v>
      </c>
    </row>
    <row r="110" spans="1:40" x14ac:dyDescent="0.25">
      <c r="A110" s="104">
        <v>11</v>
      </c>
      <c r="B110" s="104" t="s">
        <v>371</v>
      </c>
      <c r="C110" s="104">
        <v>1</v>
      </c>
      <c r="D110" s="104">
        <v>954</v>
      </c>
      <c r="E110" s="104">
        <v>251</v>
      </c>
      <c r="F110" s="104">
        <v>35</v>
      </c>
      <c r="G110" s="104">
        <v>30</v>
      </c>
      <c r="H110" s="104">
        <v>30</v>
      </c>
      <c r="I110" s="104">
        <f>H110*3</f>
        <v>90</v>
      </c>
      <c r="J110" s="104">
        <f>I110*5</f>
        <v>450</v>
      </c>
      <c r="K110" s="104">
        <v>0</v>
      </c>
      <c r="L110" s="104">
        <v>0</v>
      </c>
      <c r="M110" s="104">
        <v>0</v>
      </c>
      <c r="N110" s="104">
        <v>0</v>
      </c>
      <c r="O110" s="104">
        <v>0</v>
      </c>
      <c r="P110" s="104">
        <v>90</v>
      </c>
      <c r="Q110" s="104">
        <v>90</v>
      </c>
      <c r="R110" s="104">
        <v>90</v>
      </c>
      <c r="S110" s="104">
        <f>R110*4</f>
        <v>360</v>
      </c>
      <c r="T110" s="104">
        <v>0</v>
      </c>
      <c r="U110" s="104">
        <v>0</v>
      </c>
      <c r="V110" s="104">
        <v>0</v>
      </c>
      <c r="W110" s="104">
        <v>0</v>
      </c>
      <c r="X110" s="104">
        <v>0</v>
      </c>
      <c r="Y110" s="104">
        <v>0</v>
      </c>
      <c r="Z110" s="104">
        <v>0</v>
      </c>
      <c r="AA110" s="104">
        <v>0</v>
      </c>
      <c r="AB110" s="104">
        <v>0</v>
      </c>
      <c r="AC110" s="104">
        <v>0</v>
      </c>
      <c r="AD110" s="104">
        <v>0</v>
      </c>
      <c r="AE110" s="104">
        <v>0</v>
      </c>
      <c r="AF110" s="104">
        <v>0</v>
      </c>
      <c r="AG110" s="104">
        <v>0</v>
      </c>
      <c r="AH110" s="165">
        <v>0</v>
      </c>
      <c r="AI110" s="104">
        <v>0</v>
      </c>
      <c r="AJ110" s="164">
        <f t="shared" si="27"/>
        <v>810</v>
      </c>
      <c r="AK110" s="108">
        <f t="shared" si="25"/>
        <v>84.905660377358487</v>
      </c>
      <c r="AL110" s="163">
        <f t="shared" si="28"/>
        <v>180</v>
      </c>
      <c r="AM110" s="106">
        <f t="shared" si="26"/>
        <v>71.713147410358573</v>
      </c>
    </row>
    <row r="111" spans="1:40" x14ac:dyDescent="0.25">
      <c r="A111" s="104">
        <v>12</v>
      </c>
      <c r="B111" s="104" t="s">
        <v>370</v>
      </c>
      <c r="C111" s="104">
        <v>1</v>
      </c>
      <c r="D111" s="104">
        <v>2110</v>
      </c>
      <c r="E111" s="104">
        <v>559</v>
      </c>
      <c r="F111" s="104">
        <v>66</v>
      </c>
      <c r="G111" s="104">
        <v>66</v>
      </c>
      <c r="H111" s="104">
        <v>66</v>
      </c>
      <c r="I111" s="104">
        <v>330</v>
      </c>
      <c r="J111" s="104">
        <v>1446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27</v>
      </c>
      <c r="Q111" s="104">
        <v>30</v>
      </c>
      <c r="R111" s="104">
        <v>229</v>
      </c>
      <c r="S111" s="104">
        <v>664</v>
      </c>
      <c r="T111" s="104">
        <v>0</v>
      </c>
      <c r="U111" s="104">
        <v>0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104">
        <v>0</v>
      </c>
      <c r="AH111" s="104">
        <v>0</v>
      </c>
      <c r="AI111" s="104">
        <v>0</v>
      </c>
      <c r="AJ111" s="164">
        <f t="shared" si="27"/>
        <v>2110</v>
      </c>
      <c r="AK111" s="108">
        <f t="shared" si="25"/>
        <v>100</v>
      </c>
      <c r="AL111" s="163">
        <f t="shared" si="28"/>
        <v>559</v>
      </c>
      <c r="AM111" s="106">
        <f t="shared" si="26"/>
        <v>100</v>
      </c>
    </row>
    <row r="112" spans="1:40" x14ac:dyDescent="0.25">
      <c r="A112" s="107"/>
      <c r="B112" s="107" t="s">
        <v>369</v>
      </c>
      <c r="C112" s="107"/>
      <c r="D112" s="151">
        <f t="shared" ref="D112:AJ112" si="29">SUM(D100:D111)</f>
        <v>26453</v>
      </c>
      <c r="E112" s="151">
        <f t="shared" si="29"/>
        <v>6918</v>
      </c>
      <c r="F112" s="151">
        <f t="shared" si="29"/>
        <v>612</v>
      </c>
      <c r="G112" s="151">
        <f t="shared" si="29"/>
        <v>607</v>
      </c>
      <c r="H112" s="151">
        <f t="shared" si="29"/>
        <v>607</v>
      </c>
      <c r="I112" s="151">
        <f t="shared" si="29"/>
        <v>2827</v>
      </c>
      <c r="J112" s="151">
        <f t="shared" si="29"/>
        <v>13375</v>
      </c>
      <c r="K112" s="151">
        <f t="shared" si="29"/>
        <v>0</v>
      </c>
      <c r="L112" s="151">
        <f t="shared" si="29"/>
        <v>0</v>
      </c>
      <c r="M112" s="151">
        <f t="shared" si="29"/>
        <v>0</v>
      </c>
      <c r="N112" s="151">
        <f t="shared" si="29"/>
        <v>0</v>
      </c>
      <c r="O112" s="151">
        <f t="shared" si="29"/>
        <v>0</v>
      </c>
      <c r="P112" s="151">
        <f t="shared" si="29"/>
        <v>1374</v>
      </c>
      <c r="Q112" s="151">
        <f t="shared" si="29"/>
        <v>1380</v>
      </c>
      <c r="R112" s="151">
        <f t="shared" si="29"/>
        <v>3278</v>
      </c>
      <c r="S112" s="151">
        <f t="shared" si="29"/>
        <v>10768</v>
      </c>
      <c r="T112" s="151">
        <f t="shared" si="29"/>
        <v>0</v>
      </c>
      <c r="U112" s="151">
        <f t="shared" si="29"/>
        <v>0</v>
      </c>
      <c r="V112" s="151">
        <f t="shared" si="29"/>
        <v>0</v>
      </c>
      <c r="W112" s="151">
        <f t="shared" si="29"/>
        <v>0</v>
      </c>
      <c r="X112" s="151">
        <f t="shared" si="29"/>
        <v>0</v>
      </c>
      <c r="Y112" s="151">
        <f t="shared" si="29"/>
        <v>0</v>
      </c>
      <c r="Z112" s="151">
        <f t="shared" si="29"/>
        <v>0</v>
      </c>
      <c r="AA112" s="151">
        <f t="shared" si="29"/>
        <v>0</v>
      </c>
      <c r="AB112" s="151">
        <f t="shared" si="29"/>
        <v>0</v>
      </c>
      <c r="AC112" s="151">
        <f t="shared" si="29"/>
        <v>0</v>
      </c>
      <c r="AD112" s="151">
        <f t="shared" si="29"/>
        <v>0</v>
      </c>
      <c r="AE112" s="151">
        <f t="shared" si="29"/>
        <v>0</v>
      </c>
      <c r="AF112" s="151">
        <f t="shared" si="29"/>
        <v>351</v>
      </c>
      <c r="AG112" s="151">
        <f t="shared" si="29"/>
        <v>311</v>
      </c>
      <c r="AH112" s="151">
        <f t="shared" si="29"/>
        <v>555</v>
      </c>
      <c r="AI112" s="151">
        <f t="shared" si="29"/>
        <v>1495</v>
      </c>
      <c r="AJ112" s="151">
        <f t="shared" si="29"/>
        <v>25638</v>
      </c>
      <c r="AK112" s="106">
        <f t="shared" si="25"/>
        <v>96.919064000302427</v>
      </c>
      <c r="AL112" s="151">
        <f>SUM(AL100:AL111)</f>
        <v>6660</v>
      </c>
      <c r="AM112" s="106">
        <f t="shared" si="26"/>
        <v>96.27059843885516</v>
      </c>
      <c r="AN112" s="99">
        <v>82.49</v>
      </c>
    </row>
    <row r="113" spans="1:40" x14ac:dyDescent="0.25">
      <c r="A113" s="158">
        <v>1</v>
      </c>
      <c r="B113" s="162" t="s">
        <v>368</v>
      </c>
      <c r="C113" s="158"/>
      <c r="D113" s="161">
        <v>3713</v>
      </c>
      <c r="E113" s="161">
        <v>768</v>
      </c>
      <c r="F113" s="120">
        <v>107</v>
      </c>
      <c r="G113" s="160">
        <v>101</v>
      </c>
      <c r="H113" s="152">
        <v>101</v>
      </c>
      <c r="I113" s="152">
        <f>G113*2</f>
        <v>202</v>
      </c>
      <c r="J113" s="152">
        <f>I113*4</f>
        <v>808</v>
      </c>
      <c r="K113" s="152"/>
      <c r="L113" s="152"/>
      <c r="M113" s="152"/>
      <c r="N113" s="152"/>
      <c r="O113" s="152"/>
      <c r="P113" s="152">
        <v>80</v>
      </c>
      <c r="Q113" s="160">
        <v>80</v>
      </c>
      <c r="R113" s="152">
        <f>Q113*2</f>
        <v>160</v>
      </c>
      <c r="S113" s="152">
        <f>R113*5</f>
        <v>800</v>
      </c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>
        <v>70</v>
      </c>
      <c r="AG113" s="152">
        <v>70</v>
      </c>
      <c r="AH113" s="152">
        <f>AG113*5</f>
        <v>350</v>
      </c>
      <c r="AI113" s="152">
        <f>AH113*4</f>
        <v>1400</v>
      </c>
      <c r="AJ113" s="152">
        <f t="shared" ref="AJ113:AJ119" si="30">AI113+AE113+AA113+W113+S113+O113+J113</f>
        <v>3008</v>
      </c>
      <c r="AK113" s="108">
        <f t="shared" si="25"/>
        <v>81.012658227848107</v>
      </c>
      <c r="AL113" s="152">
        <f t="shared" ref="AL113:AL119" si="31">AH113+AD113+Z113+V113+R113+N113+I113</f>
        <v>712</v>
      </c>
      <c r="AM113" s="108">
        <f t="shared" si="26"/>
        <v>92.708333333333343</v>
      </c>
    </row>
    <row r="114" spans="1:40" x14ac:dyDescent="0.25">
      <c r="A114" s="158">
        <v>2</v>
      </c>
      <c r="B114" s="162" t="s">
        <v>367</v>
      </c>
      <c r="C114" s="158"/>
      <c r="D114" s="161">
        <v>3270</v>
      </c>
      <c r="E114" s="161">
        <v>935</v>
      </c>
      <c r="F114" s="120">
        <v>130</v>
      </c>
      <c r="G114" s="160">
        <v>110</v>
      </c>
      <c r="H114" s="152">
        <v>110</v>
      </c>
      <c r="I114" s="152">
        <f>H114*3</f>
        <v>330</v>
      </c>
      <c r="J114" s="152">
        <f>I114*4</f>
        <v>1320</v>
      </c>
      <c r="K114" s="152"/>
      <c r="L114" s="152"/>
      <c r="M114" s="152"/>
      <c r="N114" s="152"/>
      <c r="O114" s="152"/>
      <c r="P114" s="152">
        <v>200</v>
      </c>
      <c r="Q114" s="160">
        <v>200</v>
      </c>
      <c r="R114" s="152">
        <f>Q114*2</f>
        <v>400</v>
      </c>
      <c r="S114" s="152">
        <f>R114*3.5</f>
        <v>1400</v>
      </c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>
        <v>2</v>
      </c>
      <c r="AG114" s="152">
        <v>2</v>
      </c>
      <c r="AH114" s="152">
        <f>AG114*50</f>
        <v>100</v>
      </c>
      <c r="AI114" s="152">
        <f>AH114*4</f>
        <v>400</v>
      </c>
      <c r="AJ114" s="152">
        <f t="shared" si="30"/>
        <v>3120</v>
      </c>
      <c r="AK114" s="108">
        <f t="shared" si="25"/>
        <v>95.412844036697251</v>
      </c>
      <c r="AL114" s="152">
        <f t="shared" si="31"/>
        <v>830</v>
      </c>
      <c r="AM114" s="108">
        <f t="shared" si="26"/>
        <v>88.770053475935825</v>
      </c>
    </row>
    <row r="115" spans="1:40" x14ac:dyDescent="0.25">
      <c r="A115" s="158">
        <v>3</v>
      </c>
      <c r="B115" s="162" t="s">
        <v>366</v>
      </c>
      <c r="C115" s="158"/>
      <c r="D115" s="161">
        <v>1981</v>
      </c>
      <c r="E115" s="161">
        <v>548</v>
      </c>
      <c r="F115" s="120">
        <v>80</v>
      </c>
      <c r="G115" s="160">
        <v>64</v>
      </c>
      <c r="H115" s="152">
        <v>64</v>
      </c>
      <c r="I115" s="152">
        <f>G115*2</f>
        <v>128</v>
      </c>
      <c r="J115" s="152">
        <f>I115*4</f>
        <v>512</v>
      </c>
      <c r="K115" s="152"/>
      <c r="L115" s="152"/>
      <c r="M115" s="152"/>
      <c r="N115" s="152"/>
      <c r="O115" s="152"/>
      <c r="P115" s="152">
        <v>7</v>
      </c>
      <c r="Q115" s="160">
        <v>6</v>
      </c>
      <c r="R115" s="152">
        <f>Q115*2</f>
        <v>12</v>
      </c>
      <c r="S115" s="152">
        <f>R115*4</f>
        <v>48</v>
      </c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>
        <v>5</v>
      </c>
      <c r="AG115" s="152">
        <v>5</v>
      </c>
      <c r="AH115" s="152">
        <f>AG115*50</f>
        <v>250</v>
      </c>
      <c r="AI115" s="152">
        <f>AH115*4</f>
        <v>1000</v>
      </c>
      <c r="AJ115" s="152">
        <f t="shared" si="30"/>
        <v>1560</v>
      </c>
      <c r="AK115" s="108">
        <f t="shared" si="25"/>
        <v>78.748107016658253</v>
      </c>
      <c r="AL115" s="152">
        <f t="shared" si="31"/>
        <v>390</v>
      </c>
      <c r="AM115" s="108">
        <f t="shared" si="26"/>
        <v>71.167883211678827</v>
      </c>
    </row>
    <row r="116" spans="1:40" x14ac:dyDescent="0.25">
      <c r="A116" s="158">
        <v>4</v>
      </c>
      <c r="B116" s="162" t="s">
        <v>365</v>
      </c>
      <c r="C116" s="158"/>
      <c r="D116" s="161">
        <v>4161</v>
      </c>
      <c r="E116" s="161">
        <v>908</v>
      </c>
      <c r="F116" s="120">
        <v>230</v>
      </c>
      <c r="G116" s="160">
        <v>200</v>
      </c>
      <c r="H116" s="152">
        <v>200</v>
      </c>
      <c r="I116" s="152">
        <f>G116*4</f>
        <v>800</v>
      </c>
      <c r="J116" s="152">
        <f>I116*4</f>
        <v>3200</v>
      </c>
      <c r="K116" s="152"/>
      <c r="L116" s="152"/>
      <c r="M116" s="152"/>
      <c r="N116" s="152"/>
      <c r="O116" s="152"/>
      <c r="P116" s="152">
        <v>80</v>
      </c>
      <c r="Q116" s="160">
        <v>70</v>
      </c>
      <c r="R116" s="152">
        <f>Q116*1</f>
        <v>70</v>
      </c>
      <c r="S116" s="152">
        <f>R116*4</f>
        <v>280</v>
      </c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>
        <v>0</v>
      </c>
      <c r="AG116" s="152">
        <v>0</v>
      </c>
      <c r="AH116" s="152">
        <f>AG116*50</f>
        <v>0</v>
      </c>
      <c r="AI116" s="152">
        <f>AH116*4</f>
        <v>0</v>
      </c>
      <c r="AJ116" s="152">
        <f t="shared" si="30"/>
        <v>3480</v>
      </c>
      <c r="AK116" s="108">
        <f t="shared" si="25"/>
        <v>83.633741888968999</v>
      </c>
      <c r="AL116" s="152">
        <f t="shared" si="31"/>
        <v>870</v>
      </c>
      <c r="AM116" s="108">
        <f t="shared" si="26"/>
        <v>95.81497797356829</v>
      </c>
    </row>
    <row r="117" spans="1:40" x14ac:dyDescent="0.25">
      <c r="A117" s="158">
        <v>5</v>
      </c>
      <c r="B117" s="162" t="s">
        <v>364</v>
      </c>
      <c r="C117" s="158"/>
      <c r="D117" s="161">
        <v>2774</v>
      </c>
      <c r="E117" s="161">
        <v>872</v>
      </c>
      <c r="F117" s="120">
        <v>126</v>
      </c>
      <c r="G117" s="160">
        <v>113</v>
      </c>
      <c r="H117" s="152">
        <v>113</v>
      </c>
      <c r="I117" s="152">
        <v>426</v>
      </c>
      <c r="J117" s="152">
        <f>I117*3.5</f>
        <v>1491</v>
      </c>
      <c r="K117" s="152"/>
      <c r="L117" s="152"/>
      <c r="M117" s="152"/>
      <c r="N117" s="152"/>
      <c r="O117" s="152"/>
      <c r="P117" s="152">
        <v>13</v>
      </c>
      <c r="Q117" s="160">
        <v>0</v>
      </c>
      <c r="R117" s="152">
        <f>Q117*2</f>
        <v>0</v>
      </c>
      <c r="S117" s="152">
        <f>R117*4</f>
        <v>0</v>
      </c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>
        <v>80</v>
      </c>
      <c r="AG117" s="152">
        <v>80</v>
      </c>
      <c r="AH117" s="152">
        <f>AG117*5</f>
        <v>400</v>
      </c>
      <c r="AI117" s="152">
        <f>AH117*3</f>
        <v>1200</v>
      </c>
      <c r="AJ117" s="152">
        <f t="shared" si="30"/>
        <v>2691</v>
      </c>
      <c r="AK117" s="108">
        <f t="shared" si="25"/>
        <v>97.00793078586878</v>
      </c>
      <c r="AL117" s="152">
        <f t="shared" si="31"/>
        <v>826</v>
      </c>
      <c r="AM117" s="108">
        <f t="shared" si="26"/>
        <v>94.724770642201833</v>
      </c>
    </row>
    <row r="118" spans="1:40" x14ac:dyDescent="0.25">
      <c r="A118" s="158">
        <v>6</v>
      </c>
      <c r="B118" s="162" t="s">
        <v>363</v>
      </c>
      <c r="C118" s="158"/>
      <c r="D118" s="161">
        <v>1477</v>
      </c>
      <c r="E118" s="161">
        <v>347</v>
      </c>
      <c r="F118" s="120">
        <v>0</v>
      </c>
      <c r="G118" s="160">
        <v>0</v>
      </c>
      <c r="H118" s="152">
        <v>0</v>
      </c>
      <c r="I118" s="152">
        <f>G118*2</f>
        <v>0</v>
      </c>
      <c r="J118" s="152">
        <f>I118*4</f>
        <v>0</v>
      </c>
      <c r="K118" s="152"/>
      <c r="L118" s="152"/>
      <c r="M118" s="152"/>
      <c r="N118" s="152"/>
      <c r="O118" s="152"/>
      <c r="P118" s="152">
        <v>0</v>
      </c>
      <c r="Q118" s="160">
        <v>0</v>
      </c>
      <c r="R118" s="152">
        <f>Q118*2</f>
        <v>0</v>
      </c>
      <c r="S118" s="152">
        <f>R118*4</f>
        <v>0</v>
      </c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>
        <v>103</v>
      </c>
      <c r="AG118" s="152">
        <v>103</v>
      </c>
      <c r="AH118" s="152">
        <v>300</v>
      </c>
      <c r="AI118" s="152">
        <f>AH118*4.3</f>
        <v>1290</v>
      </c>
      <c r="AJ118" s="152">
        <f t="shared" si="30"/>
        <v>1290</v>
      </c>
      <c r="AK118" s="108">
        <f t="shared" si="25"/>
        <v>87.339201083276905</v>
      </c>
      <c r="AL118" s="152">
        <f t="shared" si="31"/>
        <v>300</v>
      </c>
      <c r="AM118" s="108">
        <f t="shared" si="26"/>
        <v>86.455331412103746</v>
      </c>
    </row>
    <row r="119" spans="1:40" x14ac:dyDescent="0.25">
      <c r="A119" s="158">
        <v>7</v>
      </c>
      <c r="B119" s="162" t="s">
        <v>362</v>
      </c>
      <c r="C119" s="158"/>
      <c r="D119" s="161">
        <v>1474</v>
      </c>
      <c r="E119" s="161">
        <v>411</v>
      </c>
      <c r="F119" s="120">
        <v>60</v>
      </c>
      <c r="G119" s="160">
        <v>50</v>
      </c>
      <c r="H119" s="152">
        <v>50</v>
      </c>
      <c r="I119" s="152">
        <f>G119*2</f>
        <v>100</v>
      </c>
      <c r="J119" s="152">
        <f>I119*4</f>
        <v>400</v>
      </c>
      <c r="K119" s="152"/>
      <c r="L119" s="152"/>
      <c r="M119" s="152"/>
      <c r="N119" s="152"/>
      <c r="O119" s="152"/>
      <c r="P119" s="152">
        <v>120</v>
      </c>
      <c r="Q119" s="160">
        <v>120</v>
      </c>
      <c r="R119" s="152">
        <f>Q119*2</f>
        <v>240</v>
      </c>
      <c r="S119" s="152">
        <f>R119*4</f>
        <v>960</v>
      </c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>
        <v>0</v>
      </c>
      <c r="AG119" s="152">
        <v>0</v>
      </c>
      <c r="AH119" s="152"/>
      <c r="AI119" s="152">
        <f>AH119*4</f>
        <v>0</v>
      </c>
      <c r="AJ119" s="152">
        <f t="shared" si="30"/>
        <v>1360</v>
      </c>
      <c r="AK119" s="108">
        <f t="shared" si="25"/>
        <v>92.265943012211665</v>
      </c>
      <c r="AL119" s="152">
        <f t="shared" si="31"/>
        <v>340</v>
      </c>
      <c r="AM119" s="108">
        <f t="shared" si="26"/>
        <v>82.725060827250601</v>
      </c>
    </row>
    <row r="120" spans="1:40" x14ac:dyDescent="0.25">
      <c r="A120" s="107"/>
      <c r="B120" s="107" t="s">
        <v>361</v>
      </c>
      <c r="C120" s="107"/>
      <c r="D120" s="151">
        <f t="shared" ref="D120:AJ120" si="32">SUM(D113:D119)</f>
        <v>18850</v>
      </c>
      <c r="E120" s="151">
        <f t="shared" si="32"/>
        <v>4789</v>
      </c>
      <c r="F120" s="151">
        <f t="shared" si="32"/>
        <v>733</v>
      </c>
      <c r="G120" s="151">
        <f t="shared" si="32"/>
        <v>638</v>
      </c>
      <c r="H120" s="151">
        <f t="shared" si="32"/>
        <v>638</v>
      </c>
      <c r="I120" s="151">
        <f t="shared" si="32"/>
        <v>1986</v>
      </c>
      <c r="J120" s="151">
        <f t="shared" si="32"/>
        <v>7731</v>
      </c>
      <c r="K120" s="151">
        <f t="shared" si="32"/>
        <v>0</v>
      </c>
      <c r="L120" s="151">
        <f t="shared" si="32"/>
        <v>0</v>
      </c>
      <c r="M120" s="151">
        <f t="shared" si="32"/>
        <v>0</v>
      </c>
      <c r="N120" s="151">
        <f t="shared" si="32"/>
        <v>0</v>
      </c>
      <c r="O120" s="151">
        <f t="shared" si="32"/>
        <v>0</v>
      </c>
      <c r="P120" s="151">
        <f t="shared" si="32"/>
        <v>500</v>
      </c>
      <c r="Q120" s="151">
        <f t="shared" si="32"/>
        <v>476</v>
      </c>
      <c r="R120" s="151">
        <f t="shared" si="32"/>
        <v>882</v>
      </c>
      <c r="S120" s="151">
        <f t="shared" si="32"/>
        <v>3488</v>
      </c>
      <c r="T120" s="151">
        <f t="shared" si="32"/>
        <v>0</v>
      </c>
      <c r="U120" s="151">
        <f t="shared" si="32"/>
        <v>0</v>
      </c>
      <c r="V120" s="151">
        <f t="shared" si="32"/>
        <v>0</v>
      </c>
      <c r="W120" s="151">
        <f t="shared" si="32"/>
        <v>0</v>
      </c>
      <c r="X120" s="151">
        <f t="shared" si="32"/>
        <v>0</v>
      </c>
      <c r="Y120" s="151">
        <f t="shared" si="32"/>
        <v>0</v>
      </c>
      <c r="Z120" s="151">
        <f t="shared" si="32"/>
        <v>0</v>
      </c>
      <c r="AA120" s="151">
        <f t="shared" si="32"/>
        <v>0</v>
      </c>
      <c r="AB120" s="151">
        <f t="shared" si="32"/>
        <v>0</v>
      </c>
      <c r="AC120" s="151">
        <f t="shared" si="32"/>
        <v>0</v>
      </c>
      <c r="AD120" s="151">
        <f t="shared" si="32"/>
        <v>0</v>
      </c>
      <c r="AE120" s="151">
        <f t="shared" si="32"/>
        <v>0</v>
      </c>
      <c r="AF120" s="151">
        <f t="shared" si="32"/>
        <v>260</v>
      </c>
      <c r="AG120" s="151">
        <f t="shared" si="32"/>
        <v>260</v>
      </c>
      <c r="AH120" s="151">
        <f t="shared" si="32"/>
        <v>1400</v>
      </c>
      <c r="AI120" s="151">
        <f t="shared" si="32"/>
        <v>5290</v>
      </c>
      <c r="AJ120" s="151">
        <f t="shared" si="32"/>
        <v>16509</v>
      </c>
      <c r="AK120" s="106">
        <f t="shared" si="25"/>
        <v>87.58090185676393</v>
      </c>
      <c r="AL120" s="151">
        <f>SUM(AL113:AL119)</f>
        <v>4268</v>
      </c>
      <c r="AM120" s="106">
        <f t="shared" si="26"/>
        <v>89.120902067237424</v>
      </c>
      <c r="AN120" s="99">
        <v>88.62</v>
      </c>
    </row>
    <row r="121" spans="1:40" x14ac:dyDescent="0.25">
      <c r="A121" s="158">
        <v>1</v>
      </c>
      <c r="B121" s="157" t="s">
        <v>360</v>
      </c>
      <c r="C121" s="159">
        <v>1</v>
      </c>
      <c r="D121" s="155">
        <v>6335</v>
      </c>
      <c r="E121" s="154">
        <v>1515</v>
      </c>
      <c r="F121" s="153">
        <v>6</v>
      </c>
      <c r="G121" s="153">
        <v>6</v>
      </c>
      <c r="H121" s="153">
        <f t="shared" ref="H121:H134" si="33">F121</f>
        <v>6</v>
      </c>
      <c r="I121" s="153">
        <v>12</v>
      </c>
      <c r="J121" s="153">
        <v>20</v>
      </c>
      <c r="K121" s="153">
        <v>80</v>
      </c>
      <c r="L121" s="153">
        <v>47</v>
      </c>
      <c r="M121" s="153">
        <v>47</v>
      </c>
      <c r="N121" s="153">
        <v>60</v>
      </c>
      <c r="O121" s="153">
        <v>235</v>
      </c>
      <c r="P121" s="153">
        <v>1216</v>
      </c>
      <c r="Q121" s="153">
        <v>1216</v>
      </c>
      <c r="R121" s="153">
        <v>1220</v>
      </c>
      <c r="S121" s="153">
        <f t="shared" ref="S121:S132" si="34">Q121*4</f>
        <v>4864</v>
      </c>
      <c r="T121" s="152">
        <v>0</v>
      </c>
      <c r="U121" s="152">
        <v>0</v>
      </c>
      <c r="V121" s="152">
        <v>0</v>
      </c>
      <c r="W121" s="152">
        <v>0</v>
      </c>
      <c r="X121" s="152">
        <v>0</v>
      </c>
      <c r="Y121" s="152">
        <v>0</v>
      </c>
      <c r="Z121" s="152">
        <v>0</v>
      </c>
      <c r="AA121" s="152">
        <v>0</v>
      </c>
      <c r="AB121" s="152">
        <v>0</v>
      </c>
      <c r="AC121" s="152">
        <v>0</v>
      </c>
      <c r="AD121" s="152">
        <v>0</v>
      </c>
      <c r="AE121" s="152">
        <v>0</v>
      </c>
      <c r="AF121" s="152">
        <v>0</v>
      </c>
      <c r="AG121" s="152">
        <v>0</v>
      </c>
      <c r="AH121" s="152">
        <v>0</v>
      </c>
      <c r="AI121" s="152">
        <v>0</v>
      </c>
      <c r="AJ121" s="152">
        <f t="shared" ref="AJ121:AJ134" si="35">AI121+AE121+AA121+W121+S121+O121+J121</f>
        <v>5119</v>
      </c>
      <c r="AK121" s="108">
        <f t="shared" si="25"/>
        <v>80.805051302288859</v>
      </c>
      <c r="AL121" s="152">
        <f t="shared" ref="AL121:AL134" si="36">AH121+AD121+Z121+V121+R121+N121+I121</f>
        <v>1292</v>
      </c>
      <c r="AM121" s="108">
        <f t="shared" si="26"/>
        <v>85.28052805280528</v>
      </c>
    </row>
    <row r="122" spans="1:40" x14ac:dyDescent="0.25">
      <c r="A122" s="158">
        <v>2</v>
      </c>
      <c r="B122" s="157" t="s">
        <v>359</v>
      </c>
      <c r="C122" s="159">
        <v>1</v>
      </c>
      <c r="D122" s="155">
        <v>4694</v>
      </c>
      <c r="E122" s="154">
        <v>1181</v>
      </c>
      <c r="F122" s="153">
        <v>3</v>
      </c>
      <c r="G122" s="153">
        <v>3</v>
      </c>
      <c r="H122" s="153">
        <f t="shared" si="33"/>
        <v>3</v>
      </c>
      <c r="I122" s="153">
        <v>6</v>
      </c>
      <c r="J122" s="153">
        <v>36</v>
      </c>
      <c r="K122" s="153">
        <v>44</v>
      </c>
      <c r="L122" s="153">
        <v>35</v>
      </c>
      <c r="M122" s="153">
        <v>35</v>
      </c>
      <c r="N122" s="153">
        <v>50</v>
      </c>
      <c r="O122" s="153">
        <v>250</v>
      </c>
      <c r="P122" s="153">
        <v>950</v>
      </c>
      <c r="Q122" s="153">
        <v>950</v>
      </c>
      <c r="R122" s="153">
        <v>955</v>
      </c>
      <c r="S122" s="153">
        <f t="shared" si="34"/>
        <v>3800</v>
      </c>
      <c r="T122" s="152">
        <v>0</v>
      </c>
      <c r="U122" s="152">
        <v>0</v>
      </c>
      <c r="V122" s="152">
        <v>0</v>
      </c>
      <c r="W122" s="152">
        <v>0</v>
      </c>
      <c r="X122" s="152">
        <v>0</v>
      </c>
      <c r="Y122" s="152">
        <v>0</v>
      </c>
      <c r="Z122" s="152">
        <v>0</v>
      </c>
      <c r="AA122" s="152">
        <v>0</v>
      </c>
      <c r="AB122" s="152">
        <v>0</v>
      </c>
      <c r="AC122" s="152">
        <v>0</v>
      </c>
      <c r="AD122" s="152">
        <v>0</v>
      </c>
      <c r="AE122" s="152">
        <v>0</v>
      </c>
      <c r="AF122" s="152">
        <v>1</v>
      </c>
      <c r="AG122" s="152">
        <v>1</v>
      </c>
      <c r="AH122" s="152">
        <v>1</v>
      </c>
      <c r="AI122" s="152">
        <v>5</v>
      </c>
      <c r="AJ122" s="152">
        <f t="shared" si="35"/>
        <v>4091</v>
      </c>
      <c r="AK122" s="108">
        <f t="shared" si="25"/>
        <v>87.153813378781422</v>
      </c>
      <c r="AL122" s="152">
        <f t="shared" si="36"/>
        <v>1012</v>
      </c>
      <c r="AM122" s="108">
        <f t="shared" si="26"/>
        <v>85.690093141405583</v>
      </c>
    </row>
    <row r="123" spans="1:40" x14ac:dyDescent="0.25">
      <c r="A123" s="158">
        <v>3</v>
      </c>
      <c r="B123" s="157" t="s">
        <v>325</v>
      </c>
      <c r="C123" s="159">
        <v>1</v>
      </c>
      <c r="D123" s="155">
        <v>6383</v>
      </c>
      <c r="E123" s="154">
        <v>1576</v>
      </c>
      <c r="F123" s="153">
        <v>2</v>
      </c>
      <c r="G123" s="153">
        <v>2</v>
      </c>
      <c r="H123" s="153">
        <f t="shared" si="33"/>
        <v>2</v>
      </c>
      <c r="I123" s="153">
        <v>4</v>
      </c>
      <c r="J123" s="153">
        <v>7</v>
      </c>
      <c r="K123" s="153">
        <v>0</v>
      </c>
      <c r="L123" s="153">
        <v>0</v>
      </c>
      <c r="M123" s="153">
        <v>0</v>
      </c>
      <c r="N123" s="153">
        <v>0</v>
      </c>
      <c r="O123" s="153">
        <v>0</v>
      </c>
      <c r="P123" s="153">
        <v>1270</v>
      </c>
      <c r="Q123" s="153">
        <v>1270</v>
      </c>
      <c r="R123" s="153">
        <v>1309</v>
      </c>
      <c r="S123" s="153">
        <f t="shared" si="34"/>
        <v>5080</v>
      </c>
      <c r="T123" s="152">
        <v>0</v>
      </c>
      <c r="U123" s="152">
        <v>0</v>
      </c>
      <c r="V123" s="152">
        <v>0</v>
      </c>
      <c r="W123" s="152">
        <v>0</v>
      </c>
      <c r="X123" s="152">
        <v>0</v>
      </c>
      <c r="Y123" s="152">
        <v>0</v>
      </c>
      <c r="Z123" s="152">
        <v>0</v>
      </c>
      <c r="AA123" s="152">
        <v>0</v>
      </c>
      <c r="AB123" s="152">
        <v>0</v>
      </c>
      <c r="AC123" s="152">
        <v>0</v>
      </c>
      <c r="AD123" s="152">
        <v>0</v>
      </c>
      <c r="AE123" s="152">
        <v>0</v>
      </c>
      <c r="AF123" s="152">
        <v>7</v>
      </c>
      <c r="AG123" s="152">
        <v>7</v>
      </c>
      <c r="AH123" s="152">
        <v>6</v>
      </c>
      <c r="AI123" s="152">
        <v>22</v>
      </c>
      <c r="AJ123" s="152">
        <f t="shared" si="35"/>
        <v>5109</v>
      </c>
      <c r="AK123" s="108">
        <f t="shared" si="25"/>
        <v>80.040733197556008</v>
      </c>
      <c r="AL123" s="152">
        <f t="shared" si="36"/>
        <v>1319</v>
      </c>
      <c r="AM123" s="108">
        <f t="shared" si="26"/>
        <v>83.69289340101524</v>
      </c>
    </row>
    <row r="124" spans="1:40" x14ac:dyDescent="0.25">
      <c r="A124" s="158">
        <v>4</v>
      </c>
      <c r="B124" s="157" t="s">
        <v>358</v>
      </c>
      <c r="C124" s="156">
        <v>1</v>
      </c>
      <c r="D124" s="155">
        <v>3829</v>
      </c>
      <c r="E124" s="154">
        <v>944</v>
      </c>
      <c r="F124" s="153">
        <v>0</v>
      </c>
      <c r="G124" s="153">
        <v>0</v>
      </c>
      <c r="H124" s="153">
        <f t="shared" si="33"/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810</v>
      </c>
      <c r="Q124" s="153">
        <v>810</v>
      </c>
      <c r="R124" s="153">
        <v>815</v>
      </c>
      <c r="S124" s="153">
        <f t="shared" si="34"/>
        <v>3240</v>
      </c>
      <c r="T124" s="152">
        <v>0</v>
      </c>
      <c r="U124" s="152">
        <v>0</v>
      </c>
      <c r="V124" s="152">
        <v>0</v>
      </c>
      <c r="W124" s="152">
        <v>0</v>
      </c>
      <c r="X124" s="152">
        <v>0</v>
      </c>
      <c r="Y124" s="152">
        <v>0</v>
      </c>
      <c r="Z124" s="152">
        <v>0</v>
      </c>
      <c r="AA124" s="152">
        <v>0</v>
      </c>
      <c r="AB124" s="152">
        <v>0</v>
      </c>
      <c r="AC124" s="152">
        <v>0</v>
      </c>
      <c r="AD124" s="152">
        <v>0</v>
      </c>
      <c r="AE124" s="152">
        <v>0</v>
      </c>
      <c r="AF124" s="152">
        <v>2</v>
      </c>
      <c r="AG124" s="152">
        <v>2</v>
      </c>
      <c r="AH124" s="152">
        <v>2</v>
      </c>
      <c r="AI124" s="152">
        <v>10</v>
      </c>
      <c r="AJ124" s="152">
        <f t="shared" si="35"/>
        <v>3250</v>
      </c>
      <c r="AK124" s="108">
        <f t="shared" si="25"/>
        <v>84.878558370331675</v>
      </c>
      <c r="AL124" s="152">
        <f t="shared" si="36"/>
        <v>817</v>
      </c>
      <c r="AM124" s="108">
        <f t="shared" si="26"/>
        <v>86.546610169491515</v>
      </c>
    </row>
    <row r="125" spans="1:40" x14ac:dyDescent="0.25">
      <c r="A125" s="158">
        <v>5</v>
      </c>
      <c r="B125" s="157" t="s">
        <v>357</v>
      </c>
      <c r="C125" s="156">
        <v>1</v>
      </c>
      <c r="D125" s="155">
        <v>3666</v>
      </c>
      <c r="E125" s="154">
        <v>955</v>
      </c>
      <c r="F125" s="157">
        <v>2</v>
      </c>
      <c r="G125" s="157">
        <v>2</v>
      </c>
      <c r="H125" s="153">
        <f t="shared" si="33"/>
        <v>2</v>
      </c>
      <c r="I125" s="157">
        <v>2</v>
      </c>
      <c r="J125" s="157">
        <v>10</v>
      </c>
      <c r="K125" s="157">
        <v>0</v>
      </c>
      <c r="L125" s="157">
        <v>0</v>
      </c>
      <c r="M125" s="157">
        <v>0</v>
      </c>
      <c r="N125" s="157">
        <v>0</v>
      </c>
      <c r="O125" s="157">
        <v>0</v>
      </c>
      <c r="P125" s="157">
        <v>902</v>
      </c>
      <c r="Q125" s="157">
        <v>902</v>
      </c>
      <c r="R125" s="153">
        <v>908</v>
      </c>
      <c r="S125" s="153">
        <f t="shared" si="34"/>
        <v>3608</v>
      </c>
      <c r="T125" s="152">
        <v>0</v>
      </c>
      <c r="U125" s="152">
        <v>0</v>
      </c>
      <c r="V125" s="152">
        <v>0</v>
      </c>
      <c r="W125" s="152">
        <v>0</v>
      </c>
      <c r="X125" s="152">
        <v>0</v>
      </c>
      <c r="Y125" s="152">
        <v>0</v>
      </c>
      <c r="Z125" s="152">
        <v>0</v>
      </c>
      <c r="AA125" s="152">
        <v>0</v>
      </c>
      <c r="AB125" s="152">
        <v>0</v>
      </c>
      <c r="AC125" s="152">
        <v>0</v>
      </c>
      <c r="AD125" s="152">
        <v>0</v>
      </c>
      <c r="AE125" s="152">
        <v>0</v>
      </c>
      <c r="AF125" s="152">
        <v>0</v>
      </c>
      <c r="AG125" s="152">
        <v>0</v>
      </c>
      <c r="AH125" s="152">
        <v>0</v>
      </c>
      <c r="AI125" s="152">
        <v>0</v>
      </c>
      <c r="AJ125" s="152">
        <f t="shared" si="35"/>
        <v>3618</v>
      </c>
      <c r="AK125" s="108">
        <f t="shared" si="25"/>
        <v>98.690671031096571</v>
      </c>
      <c r="AL125" s="152">
        <f t="shared" si="36"/>
        <v>910</v>
      </c>
      <c r="AM125" s="108">
        <f t="shared" si="26"/>
        <v>95.287958115183244</v>
      </c>
    </row>
    <row r="126" spans="1:40" x14ac:dyDescent="0.25">
      <c r="A126" s="158">
        <v>6</v>
      </c>
      <c r="B126" s="157" t="s">
        <v>356</v>
      </c>
      <c r="C126" s="156">
        <v>1</v>
      </c>
      <c r="D126" s="155">
        <v>3356</v>
      </c>
      <c r="E126" s="154">
        <v>903</v>
      </c>
      <c r="F126" s="153">
        <v>2</v>
      </c>
      <c r="G126" s="153">
        <v>2</v>
      </c>
      <c r="H126" s="153">
        <f t="shared" si="33"/>
        <v>2</v>
      </c>
      <c r="I126" s="153">
        <v>4</v>
      </c>
      <c r="J126" s="153">
        <v>11</v>
      </c>
      <c r="K126" s="153">
        <v>2</v>
      </c>
      <c r="L126" s="153">
        <v>2</v>
      </c>
      <c r="M126" s="153">
        <v>2</v>
      </c>
      <c r="N126" s="153">
        <v>4</v>
      </c>
      <c r="O126" s="153">
        <v>15</v>
      </c>
      <c r="P126" s="153">
        <v>715</v>
      </c>
      <c r="Q126" s="153">
        <v>715</v>
      </c>
      <c r="R126" s="153">
        <v>720</v>
      </c>
      <c r="S126" s="153">
        <f t="shared" si="34"/>
        <v>2860</v>
      </c>
      <c r="T126" s="152">
        <v>0</v>
      </c>
      <c r="U126" s="152">
        <v>0</v>
      </c>
      <c r="V126" s="152">
        <v>0</v>
      </c>
      <c r="W126" s="152">
        <v>0</v>
      </c>
      <c r="X126" s="152">
        <v>0</v>
      </c>
      <c r="Y126" s="152">
        <v>0</v>
      </c>
      <c r="Z126" s="152">
        <v>0</v>
      </c>
      <c r="AA126" s="152">
        <v>0</v>
      </c>
      <c r="AB126" s="152">
        <v>0</v>
      </c>
      <c r="AC126" s="152">
        <v>0</v>
      </c>
      <c r="AD126" s="152">
        <v>0</v>
      </c>
      <c r="AE126" s="152">
        <v>0</v>
      </c>
      <c r="AF126" s="152">
        <v>0</v>
      </c>
      <c r="AG126" s="152">
        <v>0</v>
      </c>
      <c r="AH126" s="152">
        <v>0</v>
      </c>
      <c r="AI126" s="152">
        <v>0</v>
      </c>
      <c r="AJ126" s="152">
        <f t="shared" si="35"/>
        <v>2886</v>
      </c>
      <c r="AK126" s="108">
        <f t="shared" si="25"/>
        <v>85.995232419547079</v>
      </c>
      <c r="AL126" s="152">
        <f t="shared" si="36"/>
        <v>728</v>
      </c>
      <c r="AM126" s="108">
        <f t="shared" si="26"/>
        <v>80.620155038759691</v>
      </c>
    </row>
    <row r="127" spans="1:40" x14ac:dyDescent="0.25">
      <c r="A127" s="158">
        <v>7</v>
      </c>
      <c r="B127" s="157" t="s">
        <v>355</v>
      </c>
      <c r="C127" s="156">
        <v>1</v>
      </c>
      <c r="D127" s="155">
        <v>2303</v>
      </c>
      <c r="E127" s="154">
        <v>576</v>
      </c>
      <c r="F127" s="153">
        <v>4</v>
      </c>
      <c r="G127" s="153">
        <v>4</v>
      </c>
      <c r="H127" s="153">
        <f t="shared" si="33"/>
        <v>4</v>
      </c>
      <c r="I127" s="153">
        <v>4</v>
      </c>
      <c r="J127" s="153">
        <v>20</v>
      </c>
      <c r="K127" s="153">
        <v>20</v>
      </c>
      <c r="L127" s="153">
        <v>17</v>
      </c>
      <c r="M127" s="153">
        <v>17</v>
      </c>
      <c r="N127" s="153">
        <v>25</v>
      </c>
      <c r="O127" s="153">
        <v>75</v>
      </c>
      <c r="P127" s="153">
        <v>523</v>
      </c>
      <c r="Q127" s="153">
        <v>523</v>
      </c>
      <c r="R127" s="153">
        <v>528</v>
      </c>
      <c r="S127" s="153">
        <f t="shared" si="34"/>
        <v>2092</v>
      </c>
      <c r="T127" s="152">
        <v>0</v>
      </c>
      <c r="U127" s="152">
        <v>0</v>
      </c>
      <c r="V127" s="152">
        <v>0</v>
      </c>
      <c r="W127" s="152">
        <v>0</v>
      </c>
      <c r="X127" s="152">
        <v>0</v>
      </c>
      <c r="Y127" s="152">
        <v>0</v>
      </c>
      <c r="Z127" s="152">
        <v>0</v>
      </c>
      <c r="AA127" s="152">
        <v>0</v>
      </c>
      <c r="AB127" s="152">
        <v>0</v>
      </c>
      <c r="AC127" s="152">
        <v>0</v>
      </c>
      <c r="AD127" s="152">
        <v>0</v>
      </c>
      <c r="AE127" s="152">
        <v>0</v>
      </c>
      <c r="AF127" s="152">
        <v>0</v>
      </c>
      <c r="AG127" s="152">
        <v>0</v>
      </c>
      <c r="AH127" s="152">
        <v>0</v>
      </c>
      <c r="AI127" s="152">
        <v>0</v>
      </c>
      <c r="AJ127" s="152">
        <f t="shared" si="35"/>
        <v>2187</v>
      </c>
      <c r="AK127" s="108">
        <f t="shared" si="25"/>
        <v>94.963091619626567</v>
      </c>
      <c r="AL127" s="152">
        <f t="shared" si="36"/>
        <v>557</v>
      </c>
      <c r="AM127" s="108">
        <f t="shared" si="26"/>
        <v>96.701388888888886</v>
      </c>
    </row>
    <row r="128" spans="1:40" x14ac:dyDescent="0.25">
      <c r="A128" s="158">
        <v>8</v>
      </c>
      <c r="B128" s="157" t="s">
        <v>354</v>
      </c>
      <c r="C128" s="156">
        <v>1</v>
      </c>
      <c r="D128" s="155">
        <v>2630</v>
      </c>
      <c r="E128" s="154">
        <v>686</v>
      </c>
      <c r="F128" s="153">
        <v>4</v>
      </c>
      <c r="G128" s="153">
        <v>4</v>
      </c>
      <c r="H128" s="153">
        <f t="shared" si="33"/>
        <v>4</v>
      </c>
      <c r="I128" s="153">
        <v>9</v>
      </c>
      <c r="J128" s="153">
        <v>34</v>
      </c>
      <c r="K128" s="153">
        <v>80</v>
      </c>
      <c r="L128" s="153">
        <v>50</v>
      </c>
      <c r="M128" s="153">
        <v>50</v>
      </c>
      <c r="N128" s="153">
        <v>55</v>
      </c>
      <c r="O128" s="153">
        <v>214</v>
      </c>
      <c r="P128" s="153">
        <v>553</v>
      </c>
      <c r="Q128" s="153">
        <v>553</v>
      </c>
      <c r="R128" s="153">
        <v>558</v>
      </c>
      <c r="S128" s="153">
        <f t="shared" si="34"/>
        <v>2212</v>
      </c>
      <c r="T128" s="152">
        <v>0</v>
      </c>
      <c r="U128" s="152">
        <v>0</v>
      </c>
      <c r="V128" s="152">
        <v>0</v>
      </c>
      <c r="W128" s="152">
        <v>0</v>
      </c>
      <c r="X128" s="152">
        <v>0</v>
      </c>
      <c r="Y128" s="152">
        <v>0</v>
      </c>
      <c r="Z128" s="152">
        <v>0</v>
      </c>
      <c r="AA128" s="152">
        <v>0</v>
      </c>
      <c r="AB128" s="152">
        <v>0</v>
      </c>
      <c r="AC128" s="152">
        <v>0</v>
      </c>
      <c r="AD128" s="152">
        <v>0</v>
      </c>
      <c r="AE128" s="152">
        <v>0</v>
      </c>
      <c r="AF128" s="152">
        <v>0</v>
      </c>
      <c r="AG128" s="152">
        <v>0</v>
      </c>
      <c r="AH128" s="152">
        <v>0</v>
      </c>
      <c r="AI128" s="152">
        <v>0</v>
      </c>
      <c r="AJ128" s="152">
        <f t="shared" si="35"/>
        <v>2460</v>
      </c>
      <c r="AK128" s="108">
        <f t="shared" si="25"/>
        <v>93.536121673003805</v>
      </c>
      <c r="AL128" s="152">
        <f t="shared" si="36"/>
        <v>622</v>
      </c>
      <c r="AM128" s="108">
        <f t="shared" si="26"/>
        <v>90.670553935860056</v>
      </c>
    </row>
    <row r="129" spans="1:40" x14ac:dyDescent="0.25">
      <c r="A129" s="158">
        <v>9</v>
      </c>
      <c r="B129" s="157" t="s">
        <v>353</v>
      </c>
      <c r="C129" s="156">
        <v>1</v>
      </c>
      <c r="D129" s="155">
        <v>3015</v>
      </c>
      <c r="E129" s="154">
        <v>752</v>
      </c>
      <c r="F129" s="153">
        <v>5</v>
      </c>
      <c r="G129" s="153">
        <v>5</v>
      </c>
      <c r="H129" s="153">
        <f t="shared" si="33"/>
        <v>5</v>
      </c>
      <c r="I129" s="153">
        <v>13</v>
      </c>
      <c r="J129" s="153">
        <v>42</v>
      </c>
      <c r="K129" s="153">
        <v>60</v>
      </c>
      <c r="L129" s="153">
        <v>52</v>
      </c>
      <c r="M129" s="153">
        <v>52</v>
      </c>
      <c r="N129" s="153">
        <v>65</v>
      </c>
      <c r="O129" s="153">
        <v>325</v>
      </c>
      <c r="P129" s="153">
        <v>537</v>
      </c>
      <c r="Q129" s="153">
        <v>537</v>
      </c>
      <c r="R129" s="153">
        <v>540</v>
      </c>
      <c r="S129" s="153">
        <f t="shared" si="34"/>
        <v>2148</v>
      </c>
      <c r="T129" s="152">
        <v>0</v>
      </c>
      <c r="U129" s="152">
        <v>0</v>
      </c>
      <c r="V129" s="152">
        <v>0</v>
      </c>
      <c r="W129" s="152">
        <v>0</v>
      </c>
      <c r="X129" s="152">
        <v>0</v>
      </c>
      <c r="Y129" s="152">
        <v>0</v>
      </c>
      <c r="Z129" s="152">
        <v>0</v>
      </c>
      <c r="AA129" s="152">
        <v>0</v>
      </c>
      <c r="AB129" s="152">
        <v>0</v>
      </c>
      <c r="AC129" s="152">
        <v>0</v>
      </c>
      <c r="AD129" s="152">
        <v>0</v>
      </c>
      <c r="AE129" s="152">
        <v>0</v>
      </c>
      <c r="AF129" s="152">
        <v>0</v>
      </c>
      <c r="AG129" s="152">
        <v>0</v>
      </c>
      <c r="AH129" s="152">
        <v>0</v>
      </c>
      <c r="AI129" s="152">
        <v>0</v>
      </c>
      <c r="AJ129" s="152">
        <f t="shared" si="35"/>
        <v>2515</v>
      </c>
      <c r="AK129" s="108">
        <f t="shared" si="25"/>
        <v>83.41625207296849</v>
      </c>
      <c r="AL129" s="152">
        <f t="shared" si="36"/>
        <v>618</v>
      </c>
      <c r="AM129" s="108">
        <f t="shared" si="26"/>
        <v>82.180851063829792</v>
      </c>
    </row>
    <row r="130" spans="1:40" x14ac:dyDescent="0.25">
      <c r="A130" s="158">
        <v>10</v>
      </c>
      <c r="B130" s="157" t="s">
        <v>352</v>
      </c>
      <c r="C130" s="156">
        <v>1</v>
      </c>
      <c r="D130" s="155">
        <v>3532</v>
      </c>
      <c r="E130" s="154">
        <v>891</v>
      </c>
      <c r="F130" s="153">
        <v>4</v>
      </c>
      <c r="G130" s="153">
        <v>4</v>
      </c>
      <c r="H130" s="153">
        <f t="shared" si="33"/>
        <v>4</v>
      </c>
      <c r="I130" s="153">
        <v>6</v>
      </c>
      <c r="J130" s="153">
        <v>23</v>
      </c>
      <c r="K130" s="153">
        <v>10</v>
      </c>
      <c r="L130" s="153">
        <v>5</v>
      </c>
      <c r="M130" s="153">
        <v>5</v>
      </c>
      <c r="N130" s="153">
        <v>5</v>
      </c>
      <c r="O130" s="153">
        <v>25</v>
      </c>
      <c r="P130" s="153">
        <v>740</v>
      </c>
      <c r="Q130" s="153">
        <v>740</v>
      </c>
      <c r="R130" s="153">
        <v>745</v>
      </c>
      <c r="S130" s="153">
        <f t="shared" si="34"/>
        <v>2960</v>
      </c>
      <c r="T130" s="152">
        <v>0</v>
      </c>
      <c r="U130" s="152">
        <v>0</v>
      </c>
      <c r="V130" s="152">
        <v>0</v>
      </c>
      <c r="W130" s="152">
        <v>0</v>
      </c>
      <c r="X130" s="152">
        <v>0</v>
      </c>
      <c r="Y130" s="152">
        <v>0</v>
      </c>
      <c r="Z130" s="152">
        <v>0</v>
      </c>
      <c r="AA130" s="152">
        <v>0</v>
      </c>
      <c r="AB130" s="152">
        <v>0</v>
      </c>
      <c r="AC130" s="152">
        <v>0</v>
      </c>
      <c r="AD130" s="152">
        <v>0</v>
      </c>
      <c r="AE130" s="152">
        <v>0</v>
      </c>
      <c r="AF130" s="152">
        <v>0</v>
      </c>
      <c r="AG130" s="152">
        <v>0</v>
      </c>
      <c r="AH130" s="152">
        <v>0</v>
      </c>
      <c r="AI130" s="152">
        <v>0</v>
      </c>
      <c r="AJ130" s="152">
        <f t="shared" si="35"/>
        <v>3008</v>
      </c>
      <c r="AK130" s="108">
        <f t="shared" si="25"/>
        <v>85.164212910532271</v>
      </c>
      <c r="AL130" s="152">
        <f t="shared" si="36"/>
        <v>756</v>
      </c>
      <c r="AM130" s="108">
        <f t="shared" si="26"/>
        <v>84.848484848484844</v>
      </c>
    </row>
    <row r="131" spans="1:40" x14ac:dyDescent="0.25">
      <c r="A131" s="158">
        <v>11</v>
      </c>
      <c r="B131" s="157" t="s">
        <v>351</v>
      </c>
      <c r="C131" s="156">
        <v>1</v>
      </c>
      <c r="D131" s="155">
        <v>2511</v>
      </c>
      <c r="E131" s="154">
        <v>675</v>
      </c>
      <c r="F131" s="153">
        <v>4</v>
      </c>
      <c r="G131" s="153">
        <v>4</v>
      </c>
      <c r="H131" s="153">
        <f t="shared" si="33"/>
        <v>4</v>
      </c>
      <c r="I131" s="153">
        <v>41</v>
      </c>
      <c r="J131" s="153">
        <v>158</v>
      </c>
      <c r="K131" s="153">
        <v>28</v>
      </c>
      <c r="L131" s="153">
        <v>20</v>
      </c>
      <c r="M131" s="153">
        <v>20</v>
      </c>
      <c r="N131" s="153">
        <v>25</v>
      </c>
      <c r="O131" s="153">
        <v>125</v>
      </c>
      <c r="P131" s="153">
        <v>545</v>
      </c>
      <c r="Q131" s="153">
        <v>545</v>
      </c>
      <c r="R131" s="153">
        <v>555</v>
      </c>
      <c r="S131" s="153">
        <f t="shared" si="34"/>
        <v>2180</v>
      </c>
      <c r="T131" s="152">
        <v>0</v>
      </c>
      <c r="U131" s="152">
        <v>0</v>
      </c>
      <c r="V131" s="152">
        <v>0</v>
      </c>
      <c r="W131" s="152">
        <v>0</v>
      </c>
      <c r="X131" s="152">
        <v>0</v>
      </c>
      <c r="Y131" s="152">
        <v>0</v>
      </c>
      <c r="Z131" s="152">
        <v>0</v>
      </c>
      <c r="AA131" s="152">
        <v>0</v>
      </c>
      <c r="AB131" s="152">
        <v>0</v>
      </c>
      <c r="AC131" s="152">
        <v>0</v>
      </c>
      <c r="AD131" s="152">
        <v>0</v>
      </c>
      <c r="AE131" s="152">
        <v>0</v>
      </c>
      <c r="AF131" s="152">
        <v>0</v>
      </c>
      <c r="AG131" s="152">
        <v>0</v>
      </c>
      <c r="AH131" s="152">
        <v>0</v>
      </c>
      <c r="AI131" s="152">
        <v>0</v>
      </c>
      <c r="AJ131" s="152">
        <f t="shared" si="35"/>
        <v>2463</v>
      </c>
      <c r="AK131" s="108">
        <f t="shared" ref="AK131:AK154" si="37">AJ131/D131*100</f>
        <v>98.088410991636792</v>
      </c>
      <c r="AL131" s="152">
        <f t="shared" si="36"/>
        <v>621</v>
      </c>
      <c r="AM131" s="108">
        <f t="shared" si="26"/>
        <v>92</v>
      </c>
    </row>
    <row r="132" spans="1:40" x14ac:dyDescent="0.25">
      <c r="A132" s="158">
        <v>12</v>
      </c>
      <c r="B132" s="157" t="s">
        <v>350</v>
      </c>
      <c r="C132" s="156">
        <v>1</v>
      </c>
      <c r="D132" s="155">
        <v>2709</v>
      </c>
      <c r="E132" s="154">
        <v>698</v>
      </c>
      <c r="F132" s="153">
        <v>4</v>
      </c>
      <c r="G132" s="153">
        <v>4</v>
      </c>
      <c r="H132" s="153">
        <f t="shared" si="33"/>
        <v>4</v>
      </c>
      <c r="I132" s="153">
        <v>20</v>
      </c>
      <c r="J132" s="153">
        <v>100</v>
      </c>
      <c r="K132" s="153">
        <v>57</v>
      </c>
      <c r="L132" s="153">
        <v>46</v>
      </c>
      <c r="M132" s="153">
        <v>46</v>
      </c>
      <c r="N132" s="153">
        <v>50</v>
      </c>
      <c r="O132" s="153">
        <v>250</v>
      </c>
      <c r="P132" s="153">
        <v>574</v>
      </c>
      <c r="Q132" s="153">
        <v>574</v>
      </c>
      <c r="R132" s="153">
        <v>580</v>
      </c>
      <c r="S132" s="153">
        <f t="shared" si="34"/>
        <v>2296</v>
      </c>
      <c r="T132" s="152">
        <v>0</v>
      </c>
      <c r="U132" s="152">
        <v>0</v>
      </c>
      <c r="V132" s="152">
        <v>0</v>
      </c>
      <c r="W132" s="152">
        <v>0</v>
      </c>
      <c r="X132" s="152">
        <v>0</v>
      </c>
      <c r="Y132" s="152">
        <v>0</v>
      </c>
      <c r="Z132" s="152">
        <v>0</v>
      </c>
      <c r="AA132" s="152">
        <v>0</v>
      </c>
      <c r="AB132" s="152">
        <v>0</v>
      </c>
      <c r="AC132" s="152">
        <v>0</v>
      </c>
      <c r="AD132" s="152">
        <v>0</v>
      </c>
      <c r="AE132" s="152">
        <v>0</v>
      </c>
      <c r="AF132" s="152">
        <v>14</v>
      </c>
      <c r="AG132" s="152"/>
      <c r="AH132" s="152">
        <v>15</v>
      </c>
      <c r="AI132" s="152">
        <v>52</v>
      </c>
      <c r="AJ132" s="152">
        <f t="shared" si="35"/>
        <v>2698</v>
      </c>
      <c r="AK132" s="108">
        <f t="shared" si="37"/>
        <v>99.59394610557402</v>
      </c>
      <c r="AL132" s="152">
        <f t="shared" si="36"/>
        <v>665</v>
      </c>
      <c r="AM132" s="108">
        <f t="shared" si="26"/>
        <v>95.272206303724928</v>
      </c>
    </row>
    <row r="133" spans="1:40" x14ac:dyDescent="0.25">
      <c r="A133" s="158">
        <v>13</v>
      </c>
      <c r="B133" s="157" t="s">
        <v>349</v>
      </c>
      <c r="C133" s="156">
        <v>1</v>
      </c>
      <c r="D133" s="155">
        <v>2536</v>
      </c>
      <c r="E133" s="154">
        <v>639</v>
      </c>
      <c r="F133" s="153">
        <v>1</v>
      </c>
      <c r="G133" s="153">
        <v>1</v>
      </c>
      <c r="H133" s="153">
        <f t="shared" si="33"/>
        <v>1</v>
      </c>
      <c r="I133" s="153">
        <v>5</v>
      </c>
      <c r="J133" s="153">
        <v>10</v>
      </c>
      <c r="K133" s="153">
        <v>0</v>
      </c>
      <c r="L133" s="153">
        <v>0</v>
      </c>
      <c r="M133" s="153">
        <v>0</v>
      </c>
      <c r="N133" s="153">
        <v>0</v>
      </c>
      <c r="O133" s="153">
        <v>0</v>
      </c>
      <c r="P133" s="153">
        <v>488</v>
      </c>
      <c r="Q133" s="153">
        <v>488</v>
      </c>
      <c r="R133" s="153">
        <v>510</v>
      </c>
      <c r="S133" s="153">
        <f>Q133*5</f>
        <v>2440</v>
      </c>
      <c r="T133" s="152">
        <v>0</v>
      </c>
      <c r="U133" s="152">
        <v>0</v>
      </c>
      <c r="V133" s="152">
        <v>0</v>
      </c>
      <c r="W133" s="152">
        <v>0</v>
      </c>
      <c r="X133" s="152">
        <v>0</v>
      </c>
      <c r="Y133" s="152">
        <v>0</v>
      </c>
      <c r="Z133" s="152">
        <v>0</v>
      </c>
      <c r="AA133" s="152">
        <v>0</v>
      </c>
      <c r="AB133" s="152">
        <v>0</v>
      </c>
      <c r="AC133" s="152">
        <v>0</v>
      </c>
      <c r="AD133" s="152">
        <v>0</v>
      </c>
      <c r="AE133" s="152">
        <v>0</v>
      </c>
      <c r="AF133" s="152">
        <v>0</v>
      </c>
      <c r="AG133" s="152">
        <v>0</v>
      </c>
      <c r="AH133" s="152">
        <v>0</v>
      </c>
      <c r="AI133" s="152">
        <v>0</v>
      </c>
      <c r="AJ133" s="152">
        <f t="shared" si="35"/>
        <v>2450</v>
      </c>
      <c r="AK133" s="108">
        <f t="shared" si="37"/>
        <v>96.608832807570977</v>
      </c>
      <c r="AL133" s="152">
        <f t="shared" si="36"/>
        <v>515</v>
      </c>
      <c r="AM133" s="108">
        <f t="shared" si="26"/>
        <v>80.594679186228475</v>
      </c>
    </row>
    <row r="134" spans="1:40" x14ac:dyDescent="0.25">
      <c r="A134" s="158">
        <v>14</v>
      </c>
      <c r="B134" s="157" t="s">
        <v>348</v>
      </c>
      <c r="C134" s="156">
        <v>1</v>
      </c>
      <c r="D134" s="155">
        <v>713</v>
      </c>
      <c r="E134" s="154">
        <v>186</v>
      </c>
      <c r="F134" s="153">
        <v>0</v>
      </c>
      <c r="G134" s="153">
        <v>0</v>
      </c>
      <c r="H134" s="153">
        <f t="shared" si="33"/>
        <v>0</v>
      </c>
      <c r="I134" s="153">
        <v>1</v>
      </c>
      <c r="J134" s="153">
        <v>1</v>
      </c>
      <c r="K134" s="153">
        <v>1</v>
      </c>
      <c r="L134" s="153">
        <v>1</v>
      </c>
      <c r="M134" s="153">
        <v>5</v>
      </c>
      <c r="N134" s="153">
        <v>5</v>
      </c>
      <c r="O134" s="153">
        <v>15</v>
      </c>
      <c r="P134" s="153">
        <v>173</v>
      </c>
      <c r="Q134" s="153">
        <v>173</v>
      </c>
      <c r="R134" s="153">
        <v>173</v>
      </c>
      <c r="S134" s="153">
        <f>Q134*4</f>
        <v>692</v>
      </c>
      <c r="T134" s="152">
        <v>0</v>
      </c>
      <c r="U134" s="152">
        <v>0</v>
      </c>
      <c r="V134" s="152">
        <v>0</v>
      </c>
      <c r="W134" s="152">
        <v>0</v>
      </c>
      <c r="X134" s="152">
        <v>0</v>
      </c>
      <c r="Y134" s="152">
        <v>0</v>
      </c>
      <c r="Z134" s="152">
        <v>0</v>
      </c>
      <c r="AA134" s="152">
        <v>0</v>
      </c>
      <c r="AB134" s="152">
        <v>0</v>
      </c>
      <c r="AC134" s="152">
        <v>0</v>
      </c>
      <c r="AD134" s="152">
        <v>0</v>
      </c>
      <c r="AE134" s="152">
        <v>0</v>
      </c>
      <c r="AF134" s="152">
        <v>0</v>
      </c>
      <c r="AG134" s="152">
        <v>0</v>
      </c>
      <c r="AH134" s="152">
        <v>0</v>
      </c>
      <c r="AI134" s="152">
        <v>0</v>
      </c>
      <c r="AJ134" s="152">
        <f t="shared" si="35"/>
        <v>708</v>
      </c>
      <c r="AK134" s="108">
        <f t="shared" si="37"/>
        <v>99.298737727910236</v>
      </c>
      <c r="AL134" s="152">
        <f t="shared" si="36"/>
        <v>179</v>
      </c>
      <c r="AM134" s="108">
        <f t="shared" si="26"/>
        <v>96.236559139784944</v>
      </c>
    </row>
    <row r="135" spans="1:40" x14ac:dyDescent="0.25">
      <c r="A135" s="107"/>
      <c r="B135" s="107" t="s">
        <v>347</v>
      </c>
      <c r="C135" s="107">
        <f t="shared" ref="C135:AJ135" si="38">SUM(C121:C134)</f>
        <v>14</v>
      </c>
      <c r="D135" s="107">
        <f t="shared" si="38"/>
        <v>48212</v>
      </c>
      <c r="E135" s="107">
        <f t="shared" si="38"/>
        <v>12177</v>
      </c>
      <c r="F135" s="107">
        <f t="shared" si="38"/>
        <v>41</v>
      </c>
      <c r="G135" s="107">
        <f t="shared" si="38"/>
        <v>41</v>
      </c>
      <c r="H135" s="107">
        <f t="shared" si="38"/>
        <v>41</v>
      </c>
      <c r="I135" s="107">
        <f t="shared" si="38"/>
        <v>127</v>
      </c>
      <c r="J135" s="107">
        <f t="shared" si="38"/>
        <v>472</v>
      </c>
      <c r="K135" s="107">
        <f t="shared" si="38"/>
        <v>382</v>
      </c>
      <c r="L135" s="107">
        <f t="shared" si="38"/>
        <v>275</v>
      </c>
      <c r="M135" s="107">
        <f t="shared" si="38"/>
        <v>279</v>
      </c>
      <c r="N135" s="107">
        <f t="shared" si="38"/>
        <v>344</v>
      </c>
      <c r="O135" s="107">
        <f t="shared" si="38"/>
        <v>1529</v>
      </c>
      <c r="P135" s="107">
        <f t="shared" si="38"/>
        <v>9996</v>
      </c>
      <c r="Q135" s="107">
        <f t="shared" si="38"/>
        <v>9996</v>
      </c>
      <c r="R135" s="107">
        <f t="shared" si="38"/>
        <v>10116</v>
      </c>
      <c r="S135" s="107">
        <f t="shared" si="38"/>
        <v>40472</v>
      </c>
      <c r="T135" s="107">
        <f t="shared" si="38"/>
        <v>0</v>
      </c>
      <c r="U135" s="107">
        <f t="shared" si="38"/>
        <v>0</v>
      </c>
      <c r="V135" s="107">
        <f t="shared" si="38"/>
        <v>0</v>
      </c>
      <c r="W135" s="107">
        <f t="shared" si="38"/>
        <v>0</v>
      </c>
      <c r="X135" s="107">
        <f t="shared" si="38"/>
        <v>0</v>
      </c>
      <c r="Y135" s="107">
        <f t="shared" si="38"/>
        <v>0</v>
      </c>
      <c r="Z135" s="107">
        <f t="shared" si="38"/>
        <v>0</v>
      </c>
      <c r="AA135" s="107">
        <f t="shared" si="38"/>
        <v>0</v>
      </c>
      <c r="AB135" s="107">
        <f t="shared" si="38"/>
        <v>0</v>
      </c>
      <c r="AC135" s="107">
        <f t="shared" si="38"/>
        <v>0</v>
      </c>
      <c r="AD135" s="107">
        <f t="shared" si="38"/>
        <v>0</v>
      </c>
      <c r="AE135" s="107">
        <f t="shared" si="38"/>
        <v>0</v>
      </c>
      <c r="AF135" s="107">
        <f t="shared" si="38"/>
        <v>24</v>
      </c>
      <c r="AG135" s="107">
        <f t="shared" si="38"/>
        <v>10</v>
      </c>
      <c r="AH135" s="107">
        <f t="shared" si="38"/>
        <v>24</v>
      </c>
      <c r="AI135" s="107">
        <f t="shared" si="38"/>
        <v>89</v>
      </c>
      <c r="AJ135" s="107">
        <f t="shared" si="38"/>
        <v>42562</v>
      </c>
      <c r="AK135" s="106">
        <f t="shared" si="37"/>
        <v>88.280925910561677</v>
      </c>
      <c r="AL135" s="107">
        <f>SUM(AL121:AL134)</f>
        <v>10611</v>
      </c>
      <c r="AM135" s="106">
        <v>96.236559139784944</v>
      </c>
      <c r="AN135" s="99">
        <v>86.62</v>
      </c>
    </row>
    <row r="136" spans="1:40" x14ac:dyDescent="0.25">
      <c r="A136" s="104">
        <v>1</v>
      </c>
      <c r="B136" s="104" t="s">
        <v>346</v>
      </c>
      <c r="C136" s="104">
        <v>6</v>
      </c>
      <c r="D136" s="104">
        <v>3304</v>
      </c>
      <c r="E136" s="104">
        <v>798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104">
        <v>0</v>
      </c>
      <c r="U136" s="104">
        <v>0</v>
      </c>
      <c r="V136" s="104">
        <v>0</v>
      </c>
      <c r="W136" s="104">
        <v>0</v>
      </c>
      <c r="X136" s="104">
        <v>0</v>
      </c>
      <c r="Y136" s="104">
        <v>0</v>
      </c>
      <c r="Z136" s="104">
        <v>0</v>
      </c>
      <c r="AA136" s="104">
        <v>0</v>
      </c>
      <c r="AB136" s="104">
        <v>0</v>
      </c>
      <c r="AC136" s="104">
        <v>0</v>
      </c>
      <c r="AD136" s="104">
        <v>0</v>
      </c>
      <c r="AE136" s="104">
        <v>0</v>
      </c>
      <c r="AF136" s="104">
        <v>5</v>
      </c>
      <c r="AG136" s="104">
        <v>4</v>
      </c>
      <c r="AH136" s="104">
        <v>762</v>
      </c>
      <c r="AI136" s="104">
        <v>3221</v>
      </c>
      <c r="AJ136" s="152">
        <f t="shared" ref="AJ136:AJ153" si="39">AI136+AE136+AA136+W136+S136+O136+J136</f>
        <v>3221</v>
      </c>
      <c r="AK136" s="108">
        <f t="shared" si="37"/>
        <v>97.487893462469728</v>
      </c>
      <c r="AL136" s="152">
        <f t="shared" ref="AL136:AL153" si="40">AH136+AD136+Z136+V136+R136+N136+I136</f>
        <v>762</v>
      </c>
      <c r="AM136" s="108">
        <f t="shared" ref="AM136:AM154" si="41">AL136/E136*100</f>
        <v>95.488721804511272</v>
      </c>
    </row>
    <row r="137" spans="1:40" x14ac:dyDescent="0.25">
      <c r="A137" s="104">
        <v>2</v>
      </c>
      <c r="B137" s="104" t="s">
        <v>345</v>
      </c>
      <c r="C137" s="104">
        <v>3</v>
      </c>
      <c r="D137" s="104">
        <v>1323</v>
      </c>
      <c r="E137" s="104">
        <v>320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104">
        <v>0</v>
      </c>
      <c r="X137" s="104">
        <v>0</v>
      </c>
      <c r="Y137" s="104">
        <v>0</v>
      </c>
      <c r="Z137" s="104">
        <v>0</v>
      </c>
      <c r="AA137" s="104">
        <v>0</v>
      </c>
      <c r="AB137" s="104">
        <v>0</v>
      </c>
      <c r="AC137" s="104">
        <v>0</v>
      </c>
      <c r="AD137" s="104">
        <v>0</v>
      </c>
      <c r="AE137" s="104">
        <v>0</v>
      </c>
      <c r="AF137" s="104">
        <v>14</v>
      </c>
      <c r="AG137" s="104">
        <v>12</v>
      </c>
      <c r="AH137" s="104">
        <v>285</v>
      </c>
      <c r="AI137" s="104">
        <v>1258</v>
      </c>
      <c r="AJ137" s="152">
        <f t="shared" si="39"/>
        <v>1258</v>
      </c>
      <c r="AK137" s="108">
        <f t="shared" si="37"/>
        <v>95.086923658352234</v>
      </c>
      <c r="AL137" s="152">
        <f t="shared" si="40"/>
        <v>285</v>
      </c>
      <c r="AM137" s="108">
        <f t="shared" si="41"/>
        <v>89.0625</v>
      </c>
    </row>
    <row r="138" spans="1:40" x14ac:dyDescent="0.25">
      <c r="A138" s="104">
        <v>3</v>
      </c>
      <c r="B138" s="104" t="s">
        <v>344</v>
      </c>
      <c r="C138" s="104">
        <v>2</v>
      </c>
      <c r="D138" s="104">
        <v>1206</v>
      </c>
      <c r="E138" s="104">
        <v>291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104">
        <v>0</v>
      </c>
      <c r="X138" s="104">
        <v>0</v>
      </c>
      <c r="Y138" s="104">
        <v>0</v>
      </c>
      <c r="Z138" s="104">
        <v>0</v>
      </c>
      <c r="AA138" s="104">
        <v>0</v>
      </c>
      <c r="AB138" s="104">
        <v>0</v>
      </c>
      <c r="AC138" s="104">
        <v>0</v>
      </c>
      <c r="AD138" s="104">
        <v>0</v>
      </c>
      <c r="AE138" s="104">
        <v>0</v>
      </c>
      <c r="AF138" s="104">
        <v>9</v>
      </c>
      <c r="AG138" s="104">
        <v>8</v>
      </c>
      <c r="AH138" s="104">
        <v>262</v>
      </c>
      <c r="AI138" s="104">
        <v>1086</v>
      </c>
      <c r="AJ138" s="152">
        <f t="shared" si="39"/>
        <v>1086</v>
      </c>
      <c r="AK138" s="108">
        <f t="shared" si="37"/>
        <v>90.049751243781088</v>
      </c>
      <c r="AL138" s="152">
        <f t="shared" si="40"/>
        <v>262</v>
      </c>
      <c r="AM138" s="108">
        <f t="shared" si="41"/>
        <v>90.034364261168392</v>
      </c>
    </row>
    <row r="139" spans="1:40" x14ac:dyDescent="0.25">
      <c r="A139" s="104">
        <v>4</v>
      </c>
      <c r="B139" s="104" t="s">
        <v>343</v>
      </c>
      <c r="C139" s="104">
        <v>4</v>
      </c>
      <c r="D139" s="104">
        <v>2825</v>
      </c>
      <c r="E139" s="104">
        <v>683</v>
      </c>
      <c r="F139" s="104">
        <v>13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0</v>
      </c>
      <c r="P139" s="104">
        <v>57</v>
      </c>
      <c r="Q139" s="104">
        <v>50</v>
      </c>
      <c r="R139" s="104">
        <v>65</v>
      </c>
      <c r="S139" s="104">
        <v>325</v>
      </c>
      <c r="T139" s="104">
        <v>0</v>
      </c>
      <c r="U139" s="104">
        <v>0</v>
      </c>
      <c r="V139" s="104">
        <v>0</v>
      </c>
      <c r="W139" s="104">
        <v>0</v>
      </c>
      <c r="X139" s="104">
        <v>0</v>
      </c>
      <c r="Y139" s="104">
        <v>0</v>
      </c>
      <c r="Z139" s="104">
        <v>0</v>
      </c>
      <c r="AA139" s="104">
        <v>0</v>
      </c>
      <c r="AB139" s="104">
        <v>0</v>
      </c>
      <c r="AC139" s="104">
        <v>0</v>
      </c>
      <c r="AD139" s="104">
        <v>0</v>
      </c>
      <c r="AE139" s="104">
        <v>0</v>
      </c>
      <c r="AF139" s="104">
        <v>15</v>
      </c>
      <c r="AG139" s="104">
        <v>15</v>
      </c>
      <c r="AH139" s="104">
        <v>618</v>
      </c>
      <c r="AI139" s="104">
        <v>2500</v>
      </c>
      <c r="AJ139" s="152">
        <f t="shared" si="39"/>
        <v>2825</v>
      </c>
      <c r="AK139" s="108">
        <f t="shared" si="37"/>
        <v>100</v>
      </c>
      <c r="AL139" s="152">
        <f t="shared" si="40"/>
        <v>683</v>
      </c>
      <c r="AM139" s="108">
        <f t="shared" si="41"/>
        <v>100</v>
      </c>
    </row>
    <row r="140" spans="1:40" x14ac:dyDescent="0.25">
      <c r="A140" s="104">
        <v>5</v>
      </c>
      <c r="B140" s="104" t="s">
        <v>342</v>
      </c>
      <c r="C140" s="104">
        <v>4</v>
      </c>
      <c r="D140" s="104">
        <v>4891</v>
      </c>
      <c r="E140" s="104">
        <v>1182</v>
      </c>
      <c r="F140" s="104">
        <v>26</v>
      </c>
      <c r="G140" s="104">
        <v>20</v>
      </c>
      <c r="H140" s="104">
        <v>20</v>
      </c>
      <c r="I140" s="104">
        <v>80</v>
      </c>
      <c r="J140" s="104">
        <v>400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16</v>
      </c>
      <c r="Q140" s="104">
        <v>14</v>
      </c>
      <c r="R140" s="104">
        <f>Q140*3</f>
        <v>42</v>
      </c>
      <c r="S140" s="104">
        <f>R140*4</f>
        <v>168</v>
      </c>
      <c r="T140" s="104">
        <v>0</v>
      </c>
      <c r="U140" s="104">
        <v>0</v>
      </c>
      <c r="V140" s="104">
        <v>0</v>
      </c>
      <c r="W140" s="104">
        <v>0</v>
      </c>
      <c r="X140" s="104">
        <v>0</v>
      </c>
      <c r="Y140" s="104">
        <v>0</v>
      </c>
      <c r="Z140" s="104">
        <v>0</v>
      </c>
      <c r="AA140" s="104">
        <v>0</v>
      </c>
      <c r="AB140" s="104">
        <v>0</v>
      </c>
      <c r="AC140" s="104">
        <v>0</v>
      </c>
      <c r="AD140" s="104">
        <v>0</v>
      </c>
      <c r="AE140" s="104">
        <v>0</v>
      </c>
      <c r="AF140" s="104">
        <v>827</v>
      </c>
      <c r="AG140" s="104">
        <v>767</v>
      </c>
      <c r="AH140" s="104">
        <v>850</v>
      </c>
      <c r="AI140" s="104">
        <v>3790</v>
      </c>
      <c r="AJ140" s="152">
        <f t="shared" si="39"/>
        <v>4358</v>
      </c>
      <c r="AK140" s="108">
        <f t="shared" si="37"/>
        <v>89.102433040278058</v>
      </c>
      <c r="AL140" s="152">
        <f t="shared" si="40"/>
        <v>972</v>
      </c>
      <c r="AM140" s="108">
        <f t="shared" si="41"/>
        <v>82.233502538071065</v>
      </c>
    </row>
    <row r="141" spans="1:40" x14ac:dyDescent="0.25">
      <c r="A141" s="104">
        <v>6</v>
      </c>
      <c r="B141" s="104" t="s">
        <v>341</v>
      </c>
      <c r="C141" s="104">
        <v>5</v>
      </c>
      <c r="D141" s="104">
        <v>3736</v>
      </c>
      <c r="E141" s="104">
        <v>903</v>
      </c>
      <c r="F141" s="104">
        <v>32</v>
      </c>
      <c r="G141" s="104">
        <v>18</v>
      </c>
      <c r="H141" s="104">
        <v>18</v>
      </c>
      <c r="I141" s="104">
        <v>70</v>
      </c>
      <c r="J141" s="104">
        <v>540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502</v>
      </c>
      <c r="Q141" s="104">
        <v>405</v>
      </c>
      <c r="R141" s="104">
        <v>680</v>
      </c>
      <c r="S141" s="104">
        <v>2675</v>
      </c>
      <c r="T141" s="104">
        <v>0</v>
      </c>
      <c r="U141" s="104">
        <v>0</v>
      </c>
      <c r="V141" s="104">
        <v>0</v>
      </c>
      <c r="W141" s="104">
        <v>0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104">
        <v>0</v>
      </c>
      <c r="AH141" s="104">
        <v>0</v>
      </c>
      <c r="AI141" s="104">
        <v>0</v>
      </c>
      <c r="AJ141" s="152">
        <f t="shared" si="39"/>
        <v>3215</v>
      </c>
      <c r="AK141" s="108">
        <f t="shared" si="37"/>
        <v>86.054603854389725</v>
      </c>
      <c r="AL141" s="152">
        <f t="shared" si="40"/>
        <v>750</v>
      </c>
      <c r="AM141" s="108">
        <f t="shared" si="41"/>
        <v>83.056478405315616</v>
      </c>
    </row>
    <row r="142" spans="1:40" x14ac:dyDescent="0.25">
      <c r="A142" s="104">
        <v>7</v>
      </c>
      <c r="B142" s="104" t="s">
        <v>340</v>
      </c>
      <c r="C142" s="104">
        <v>3</v>
      </c>
      <c r="D142" s="104">
        <v>1671</v>
      </c>
      <c r="E142" s="104">
        <v>408</v>
      </c>
      <c r="F142" s="104">
        <v>9</v>
      </c>
      <c r="G142" s="104">
        <v>7</v>
      </c>
      <c r="H142" s="104">
        <v>7</v>
      </c>
      <c r="I142" s="104">
        <v>28</v>
      </c>
      <c r="J142" s="104">
        <v>168</v>
      </c>
      <c r="K142" s="104">
        <v>0</v>
      </c>
      <c r="L142" s="104">
        <v>0</v>
      </c>
      <c r="M142" s="104">
        <v>0</v>
      </c>
      <c r="N142" s="104">
        <v>0</v>
      </c>
      <c r="O142" s="104">
        <v>0</v>
      </c>
      <c r="P142" s="104">
        <v>123</v>
      </c>
      <c r="Q142" s="104">
        <v>116</v>
      </c>
      <c r="R142" s="104">
        <v>232</v>
      </c>
      <c r="S142" s="104">
        <v>1160</v>
      </c>
      <c r="T142" s="104">
        <v>0</v>
      </c>
      <c r="U142" s="104">
        <v>0</v>
      </c>
      <c r="V142" s="104">
        <v>0</v>
      </c>
      <c r="W142" s="104">
        <v>0</v>
      </c>
      <c r="X142" s="104">
        <v>0</v>
      </c>
      <c r="Y142" s="104">
        <v>0</v>
      </c>
      <c r="Z142" s="104">
        <v>0</v>
      </c>
      <c r="AA142" s="104">
        <v>0</v>
      </c>
      <c r="AB142" s="104">
        <v>0</v>
      </c>
      <c r="AC142" s="104">
        <v>0</v>
      </c>
      <c r="AD142" s="104">
        <v>0</v>
      </c>
      <c r="AE142" s="104">
        <v>0</v>
      </c>
      <c r="AF142" s="104">
        <v>211</v>
      </c>
      <c r="AG142" s="104">
        <v>50</v>
      </c>
      <c r="AH142" s="104">
        <v>70</v>
      </c>
      <c r="AI142" s="104">
        <v>250</v>
      </c>
      <c r="AJ142" s="152">
        <f t="shared" si="39"/>
        <v>1578</v>
      </c>
      <c r="AK142" s="108">
        <f t="shared" si="37"/>
        <v>94.43447037701975</v>
      </c>
      <c r="AL142" s="152">
        <f t="shared" si="40"/>
        <v>330</v>
      </c>
      <c r="AM142" s="108">
        <f t="shared" si="41"/>
        <v>80.882352941176478</v>
      </c>
    </row>
    <row r="143" spans="1:40" x14ac:dyDescent="0.25">
      <c r="A143" s="104">
        <v>8</v>
      </c>
      <c r="B143" s="104" t="s">
        <v>339</v>
      </c>
      <c r="C143" s="104">
        <v>5</v>
      </c>
      <c r="D143" s="104">
        <v>5717</v>
      </c>
      <c r="E143" s="104">
        <v>1381</v>
      </c>
      <c r="F143" s="104">
        <v>24</v>
      </c>
      <c r="G143" s="104">
        <v>18</v>
      </c>
      <c r="H143" s="104">
        <v>18</v>
      </c>
      <c r="I143" s="104">
        <v>36</v>
      </c>
      <c r="J143" s="104">
        <v>180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950</v>
      </c>
      <c r="Q143" s="104">
        <v>750</v>
      </c>
      <c r="R143" s="104">
        <v>1178</v>
      </c>
      <c r="S143" s="104">
        <v>4870</v>
      </c>
      <c r="T143" s="104">
        <v>0</v>
      </c>
      <c r="U143" s="104">
        <v>0</v>
      </c>
      <c r="V143" s="104">
        <v>0</v>
      </c>
      <c r="W143" s="104">
        <v>0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5</v>
      </c>
      <c r="AG143" s="104">
        <v>5</v>
      </c>
      <c r="AH143" s="104">
        <v>10</v>
      </c>
      <c r="AI143" s="104">
        <v>25</v>
      </c>
      <c r="AJ143" s="152">
        <f t="shared" si="39"/>
        <v>5075</v>
      </c>
      <c r="AK143" s="108">
        <f t="shared" si="37"/>
        <v>88.770334091306623</v>
      </c>
      <c r="AL143" s="152">
        <f t="shared" si="40"/>
        <v>1224</v>
      </c>
      <c r="AM143" s="108">
        <f t="shared" si="41"/>
        <v>88.631426502534396</v>
      </c>
    </row>
    <row r="144" spans="1:40" x14ac:dyDescent="0.25">
      <c r="A144" s="104">
        <v>9</v>
      </c>
      <c r="B144" s="104" t="s">
        <v>338</v>
      </c>
      <c r="C144" s="104">
        <v>3</v>
      </c>
      <c r="D144" s="104">
        <v>3572</v>
      </c>
      <c r="E144" s="104">
        <v>863</v>
      </c>
      <c r="F144" s="104">
        <v>23</v>
      </c>
      <c r="G144" s="104">
        <v>15</v>
      </c>
      <c r="H144" s="104">
        <v>15</v>
      </c>
      <c r="I144" s="104">
        <v>18</v>
      </c>
      <c r="J144" s="104">
        <v>100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415</v>
      </c>
      <c r="Q144" s="104">
        <v>360</v>
      </c>
      <c r="R144" s="104">
        <v>500</v>
      </c>
      <c r="S144" s="104">
        <v>2580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154</v>
      </c>
      <c r="AG144" s="104">
        <v>100</v>
      </c>
      <c r="AH144" s="104">
        <v>250</v>
      </c>
      <c r="AI144" s="104">
        <v>500</v>
      </c>
      <c r="AJ144" s="152">
        <f t="shared" si="39"/>
        <v>3180</v>
      </c>
      <c r="AK144" s="108">
        <f t="shared" si="37"/>
        <v>89.025755879059361</v>
      </c>
      <c r="AL144" s="152">
        <f t="shared" si="40"/>
        <v>768</v>
      </c>
      <c r="AM144" s="108">
        <f t="shared" si="41"/>
        <v>88.991888760139048</v>
      </c>
    </row>
    <row r="145" spans="1:40" x14ac:dyDescent="0.25">
      <c r="A145" s="104">
        <v>10</v>
      </c>
      <c r="B145" s="104" t="s">
        <v>267</v>
      </c>
      <c r="C145" s="104">
        <v>4</v>
      </c>
      <c r="D145" s="104">
        <v>4266</v>
      </c>
      <c r="E145" s="104">
        <v>1030</v>
      </c>
      <c r="F145" s="104">
        <v>18</v>
      </c>
      <c r="G145" s="104">
        <v>14</v>
      </c>
      <c r="H145" s="104">
        <v>14</v>
      </c>
      <c r="I145" s="104">
        <v>28</v>
      </c>
      <c r="J145" s="104">
        <v>168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655</v>
      </c>
      <c r="Q145" s="104">
        <v>545</v>
      </c>
      <c r="R145" s="104">
        <v>850</v>
      </c>
      <c r="S145" s="104">
        <v>3450</v>
      </c>
      <c r="T145" s="104">
        <v>0</v>
      </c>
      <c r="U145" s="104">
        <v>0</v>
      </c>
      <c r="V145" s="104">
        <v>0</v>
      </c>
      <c r="W145" s="104">
        <v>0</v>
      </c>
      <c r="X145" s="104">
        <v>0</v>
      </c>
      <c r="Y145" s="104">
        <v>0</v>
      </c>
      <c r="Z145" s="104">
        <v>0</v>
      </c>
      <c r="AA145" s="104">
        <v>0</v>
      </c>
      <c r="AB145" s="104">
        <v>0</v>
      </c>
      <c r="AC145" s="104">
        <v>0</v>
      </c>
      <c r="AD145" s="104">
        <v>0</v>
      </c>
      <c r="AE145" s="104">
        <v>0</v>
      </c>
      <c r="AF145" s="104">
        <v>20</v>
      </c>
      <c r="AG145" s="104">
        <v>20</v>
      </c>
      <c r="AH145" s="104">
        <v>22</v>
      </c>
      <c r="AI145" s="104">
        <v>310</v>
      </c>
      <c r="AJ145" s="152">
        <f t="shared" si="39"/>
        <v>3928</v>
      </c>
      <c r="AK145" s="108">
        <f t="shared" si="37"/>
        <v>92.076887013595879</v>
      </c>
      <c r="AL145" s="152">
        <f t="shared" si="40"/>
        <v>900</v>
      </c>
      <c r="AM145" s="108">
        <f t="shared" si="41"/>
        <v>87.378640776699029</v>
      </c>
    </row>
    <row r="146" spans="1:40" x14ac:dyDescent="0.25">
      <c r="A146" s="104">
        <v>11</v>
      </c>
      <c r="B146" s="104" t="s">
        <v>337</v>
      </c>
      <c r="C146" s="104">
        <v>3</v>
      </c>
      <c r="D146" s="104">
        <v>3211</v>
      </c>
      <c r="E146" s="104">
        <v>776</v>
      </c>
      <c r="F146" s="104">
        <v>10</v>
      </c>
      <c r="G146" s="104">
        <v>7</v>
      </c>
      <c r="H146" s="104">
        <v>7</v>
      </c>
      <c r="I146" s="104">
        <v>13</v>
      </c>
      <c r="J146" s="104">
        <v>65</v>
      </c>
      <c r="K146" s="104">
        <v>0</v>
      </c>
      <c r="L146" s="104">
        <v>0</v>
      </c>
      <c r="M146" s="104">
        <v>0</v>
      </c>
      <c r="N146" s="104">
        <v>0</v>
      </c>
      <c r="O146" s="104">
        <v>0</v>
      </c>
      <c r="P146" s="104">
        <v>538</v>
      </c>
      <c r="Q146" s="104">
        <v>480</v>
      </c>
      <c r="R146" s="104">
        <v>650</v>
      </c>
      <c r="S146" s="104">
        <v>2760</v>
      </c>
      <c r="T146" s="104">
        <v>0</v>
      </c>
      <c r="U146" s="104">
        <v>0</v>
      </c>
      <c r="V146" s="104">
        <v>0</v>
      </c>
      <c r="W146" s="104">
        <v>0</v>
      </c>
      <c r="X146" s="104">
        <v>0</v>
      </c>
      <c r="Y146" s="104">
        <v>0</v>
      </c>
      <c r="Z146" s="104">
        <v>0</v>
      </c>
      <c r="AA146" s="104">
        <v>0</v>
      </c>
      <c r="AB146" s="104">
        <v>0</v>
      </c>
      <c r="AC146" s="104">
        <v>0</v>
      </c>
      <c r="AD146" s="104">
        <v>0</v>
      </c>
      <c r="AE146" s="104">
        <v>0</v>
      </c>
      <c r="AF146" s="104">
        <v>18</v>
      </c>
      <c r="AG146" s="104">
        <v>18</v>
      </c>
      <c r="AH146" s="104">
        <v>20</v>
      </c>
      <c r="AI146" s="104">
        <v>95</v>
      </c>
      <c r="AJ146" s="152">
        <f t="shared" si="39"/>
        <v>2920</v>
      </c>
      <c r="AK146" s="108">
        <f t="shared" si="37"/>
        <v>90.937402678293367</v>
      </c>
      <c r="AL146" s="152">
        <f t="shared" si="40"/>
        <v>683</v>
      </c>
      <c r="AM146" s="108">
        <f t="shared" si="41"/>
        <v>88.015463917525778</v>
      </c>
    </row>
    <row r="147" spans="1:40" x14ac:dyDescent="0.25">
      <c r="A147" s="104">
        <v>12</v>
      </c>
      <c r="B147" s="104" t="s">
        <v>336</v>
      </c>
      <c r="C147" s="104">
        <v>2</v>
      </c>
      <c r="D147" s="104">
        <v>1726</v>
      </c>
      <c r="E147" s="104">
        <v>417</v>
      </c>
      <c r="F147" s="104">
        <v>12</v>
      </c>
      <c r="G147" s="104">
        <v>8</v>
      </c>
      <c r="H147" s="104">
        <v>8</v>
      </c>
      <c r="I147" s="104">
        <v>10</v>
      </c>
      <c r="J147" s="104">
        <v>55</v>
      </c>
      <c r="K147" s="104">
        <v>2</v>
      </c>
      <c r="L147" s="104">
        <v>2</v>
      </c>
      <c r="M147" s="104">
        <v>2</v>
      </c>
      <c r="N147" s="104">
        <v>2</v>
      </c>
      <c r="O147" s="104">
        <v>10</v>
      </c>
      <c r="P147" s="104">
        <v>360</v>
      </c>
      <c r="Q147" s="104">
        <v>300</v>
      </c>
      <c r="R147" s="104">
        <v>350</v>
      </c>
      <c r="S147" s="104">
        <v>1550</v>
      </c>
      <c r="T147" s="104">
        <v>0</v>
      </c>
      <c r="U147" s="104">
        <v>0</v>
      </c>
      <c r="V147" s="104">
        <v>0</v>
      </c>
      <c r="W147" s="104">
        <v>0</v>
      </c>
      <c r="X147" s="104">
        <v>0</v>
      </c>
      <c r="Y147" s="104">
        <v>0</v>
      </c>
      <c r="Z147" s="104">
        <v>0</v>
      </c>
      <c r="AA147" s="104">
        <v>0</v>
      </c>
      <c r="AB147" s="104">
        <v>0</v>
      </c>
      <c r="AC147" s="104">
        <v>0</v>
      </c>
      <c r="AD147" s="104">
        <v>0</v>
      </c>
      <c r="AE147" s="104">
        <v>0</v>
      </c>
      <c r="AF147" s="104">
        <v>10</v>
      </c>
      <c r="AG147" s="104">
        <v>10</v>
      </c>
      <c r="AH147" s="104">
        <v>10</v>
      </c>
      <c r="AI147" s="104">
        <v>50</v>
      </c>
      <c r="AJ147" s="152">
        <f t="shared" si="39"/>
        <v>1665</v>
      </c>
      <c r="AK147" s="108">
        <f t="shared" si="37"/>
        <v>96.465816917728858</v>
      </c>
      <c r="AL147" s="152">
        <f t="shared" si="40"/>
        <v>372</v>
      </c>
      <c r="AM147" s="108">
        <f t="shared" si="41"/>
        <v>89.208633093525179</v>
      </c>
    </row>
    <row r="148" spans="1:40" x14ac:dyDescent="0.25">
      <c r="A148" s="104">
        <v>13</v>
      </c>
      <c r="B148" s="104" t="s">
        <v>335</v>
      </c>
      <c r="C148" s="104">
        <v>6</v>
      </c>
      <c r="D148" s="104">
        <v>7251</v>
      </c>
      <c r="E148" s="104">
        <v>1752</v>
      </c>
      <c r="F148" s="104">
        <v>12</v>
      </c>
      <c r="G148" s="104">
        <v>2</v>
      </c>
      <c r="H148" s="104">
        <v>2</v>
      </c>
      <c r="I148" s="104">
        <v>2</v>
      </c>
      <c r="J148" s="104">
        <v>10</v>
      </c>
      <c r="K148" s="104">
        <v>0</v>
      </c>
      <c r="L148" s="104">
        <v>0</v>
      </c>
      <c r="M148" s="104">
        <v>0</v>
      </c>
      <c r="N148" s="104">
        <v>0</v>
      </c>
      <c r="O148" s="104">
        <v>0</v>
      </c>
      <c r="P148" s="104">
        <v>891</v>
      </c>
      <c r="Q148" s="104">
        <v>650</v>
      </c>
      <c r="R148" s="104">
        <v>1234</v>
      </c>
      <c r="S148" s="104">
        <v>5220</v>
      </c>
      <c r="T148" s="104">
        <v>0</v>
      </c>
      <c r="U148" s="104">
        <v>0</v>
      </c>
      <c r="V148" s="104">
        <v>0</v>
      </c>
      <c r="W148" s="104">
        <v>0</v>
      </c>
      <c r="X148" s="104">
        <v>0</v>
      </c>
      <c r="Y148" s="104">
        <v>0</v>
      </c>
      <c r="Z148" s="104">
        <v>0</v>
      </c>
      <c r="AA148" s="104">
        <v>0</v>
      </c>
      <c r="AB148" s="104">
        <v>0</v>
      </c>
      <c r="AC148" s="104">
        <v>0</v>
      </c>
      <c r="AD148" s="104">
        <v>0</v>
      </c>
      <c r="AE148" s="104">
        <v>0</v>
      </c>
      <c r="AF148" s="104">
        <v>201</v>
      </c>
      <c r="AG148" s="104">
        <v>189</v>
      </c>
      <c r="AH148" s="104">
        <v>250</v>
      </c>
      <c r="AI148" s="104">
        <v>1134</v>
      </c>
      <c r="AJ148" s="152">
        <f t="shared" si="39"/>
        <v>6364</v>
      </c>
      <c r="AK148" s="108">
        <f t="shared" si="37"/>
        <v>87.767204523513996</v>
      </c>
      <c r="AL148" s="152">
        <f t="shared" si="40"/>
        <v>1486</v>
      </c>
      <c r="AM148" s="108">
        <f t="shared" si="41"/>
        <v>84.817351598173516</v>
      </c>
    </row>
    <row r="149" spans="1:40" x14ac:dyDescent="0.25">
      <c r="A149" s="104">
        <v>14</v>
      </c>
      <c r="B149" s="104" t="s">
        <v>334</v>
      </c>
      <c r="C149" s="104">
        <v>3</v>
      </c>
      <c r="D149" s="104">
        <v>1702</v>
      </c>
      <c r="E149" s="104">
        <v>411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</v>
      </c>
      <c r="U149" s="104">
        <v>0</v>
      </c>
      <c r="V149" s="104">
        <v>0</v>
      </c>
      <c r="W149" s="104">
        <v>0</v>
      </c>
      <c r="X149" s="104">
        <v>0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</v>
      </c>
      <c r="AF149" s="104">
        <v>155</v>
      </c>
      <c r="AG149" s="104">
        <v>155</v>
      </c>
      <c r="AH149" s="104">
        <v>300</v>
      </c>
      <c r="AI149" s="104">
        <v>1350</v>
      </c>
      <c r="AJ149" s="152">
        <f t="shared" si="39"/>
        <v>1350</v>
      </c>
      <c r="AK149" s="108">
        <f t="shared" si="37"/>
        <v>79.318448883666264</v>
      </c>
      <c r="AL149" s="152">
        <f t="shared" si="40"/>
        <v>300</v>
      </c>
      <c r="AM149" s="108">
        <f t="shared" si="41"/>
        <v>72.992700729927009</v>
      </c>
    </row>
    <row r="150" spans="1:40" x14ac:dyDescent="0.25">
      <c r="A150" s="104">
        <v>15</v>
      </c>
      <c r="B150" s="104" t="s">
        <v>333</v>
      </c>
      <c r="C150" s="104">
        <v>5</v>
      </c>
      <c r="D150" s="104">
        <v>3122</v>
      </c>
      <c r="E150" s="104">
        <v>754</v>
      </c>
      <c r="F150" s="104">
        <v>58</v>
      </c>
      <c r="G150" s="104">
        <v>35</v>
      </c>
      <c r="H150" s="104">
        <v>35</v>
      </c>
      <c r="I150" s="104">
        <v>50</v>
      </c>
      <c r="J150" s="104">
        <v>360</v>
      </c>
      <c r="K150" s="104">
        <v>0</v>
      </c>
      <c r="L150" s="104">
        <v>0</v>
      </c>
      <c r="M150" s="104">
        <v>0</v>
      </c>
      <c r="N150" s="104">
        <v>0</v>
      </c>
      <c r="O150" s="104">
        <v>0</v>
      </c>
      <c r="P150" s="104">
        <v>396</v>
      </c>
      <c r="Q150" s="104">
        <v>278</v>
      </c>
      <c r="R150" s="104">
        <v>490</v>
      </c>
      <c r="S150" s="104">
        <v>1848</v>
      </c>
      <c r="T150" s="104">
        <v>0</v>
      </c>
      <c r="U150" s="104">
        <v>0</v>
      </c>
      <c r="V150" s="104">
        <v>0</v>
      </c>
      <c r="W150" s="104">
        <v>0</v>
      </c>
      <c r="X150" s="104">
        <v>0</v>
      </c>
      <c r="Y150" s="104">
        <v>0</v>
      </c>
      <c r="Z150" s="104">
        <v>0</v>
      </c>
      <c r="AA150" s="104">
        <v>0</v>
      </c>
      <c r="AB150" s="104">
        <v>0</v>
      </c>
      <c r="AC150" s="104">
        <v>0</v>
      </c>
      <c r="AD150" s="104">
        <v>0</v>
      </c>
      <c r="AE150" s="104">
        <v>0</v>
      </c>
      <c r="AF150" s="104">
        <v>3</v>
      </c>
      <c r="AG150" s="104">
        <v>2</v>
      </c>
      <c r="AH150" s="104">
        <v>120</v>
      </c>
      <c r="AI150" s="104">
        <v>540</v>
      </c>
      <c r="AJ150" s="152">
        <f t="shared" si="39"/>
        <v>2748</v>
      </c>
      <c r="AK150" s="108">
        <f t="shared" si="37"/>
        <v>88.020499679692506</v>
      </c>
      <c r="AL150" s="152">
        <f t="shared" si="40"/>
        <v>660</v>
      </c>
      <c r="AM150" s="108">
        <f t="shared" si="41"/>
        <v>87.533156498673733</v>
      </c>
    </row>
    <row r="151" spans="1:40" x14ac:dyDescent="0.25">
      <c r="A151" s="104">
        <v>16</v>
      </c>
      <c r="B151" s="104" t="s">
        <v>332</v>
      </c>
      <c r="C151" s="104">
        <v>3</v>
      </c>
      <c r="D151" s="104">
        <v>3045</v>
      </c>
      <c r="E151" s="104">
        <v>736</v>
      </c>
      <c r="F151" s="104">
        <v>59</v>
      </c>
      <c r="G151" s="104">
        <v>40</v>
      </c>
      <c r="H151" s="104">
        <v>40</v>
      </c>
      <c r="I151" s="104">
        <v>50</v>
      </c>
      <c r="J151" s="104">
        <v>360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572</v>
      </c>
      <c r="Q151" s="104">
        <v>530</v>
      </c>
      <c r="R151" s="104">
        <v>530</v>
      </c>
      <c r="S151" s="104">
        <v>2198</v>
      </c>
      <c r="T151" s="104">
        <v>0</v>
      </c>
      <c r="U151" s="104">
        <v>0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70</v>
      </c>
      <c r="AG151" s="104">
        <v>70</v>
      </c>
      <c r="AH151" s="104">
        <v>100</v>
      </c>
      <c r="AI151" s="104">
        <f>AH151*3</f>
        <v>300</v>
      </c>
      <c r="AJ151" s="152">
        <f t="shared" si="39"/>
        <v>2858</v>
      </c>
      <c r="AK151" s="108">
        <f t="shared" si="37"/>
        <v>93.858784893267654</v>
      </c>
      <c r="AL151" s="152">
        <f t="shared" si="40"/>
        <v>680</v>
      </c>
      <c r="AM151" s="108">
        <f t="shared" si="41"/>
        <v>92.391304347826093</v>
      </c>
    </row>
    <row r="152" spans="1:40" x14ac:dyDescent="0.25">
      <c r="A152" s="104">
        <v>17</v>
      </c>
      <c r="B152" s="104" t="s">
        <v>331</v>
      </c>
      <c r="C152" s="104">
        <v>3</v>
      </c>
      <c r="D152" s="104">
        <v>1911</v>
      </c>
      <c r="E152" s="104">
        <v>462</v>
      </c>
      <c r="F152" s="104">
        <v>22</v>
      </c>
      <c r="G152" s="104">
        <v>11</v>
      </c>
      <c r="H152" s="104">
        <v>11</v>
      </c>
      <c r="I152" s="104">
        <v>30</v>
      </c>
      <c r="J152" s="104">
        <v>240</v>
      </c>
      <c r="K152" s="104">
        <v>1</v>
      </c>
      <c r="L152" s="104">
        <v>1</v>
      </c>
      <c r="M152" s="104">
        <v>1</v>
      </c>
      <c r="N152" s="104">
        <v>2</v>
      </c>
      <c r="O152" s="104">
        <v>10</v>
      </c>
      <c r="P152" s="104">
        <v>149</v>
      </c>
      <c r="Q152" s="104">
        <v>110</v>
      </c>
      <c r="R152" s="104">
        <v>370</v>
      </c>
      <c r="S152" s="104">
        <v>1410</v>
      </c>
      <c r="T152" s="104">
        <v>0</v>
      </c>
      <c r="U152" s="104">
        <v>0</v>
      </c>
      <c r="V152" s="104">
        <v>0</v>
      </c>
      <c r="W152" s="104">
        <v>0</v>
      </c>
      <c r="X152" s="104">
        <v>0</v>
      </c>
      <c r="Y152" s="104">
        <v>0</v>
      </c>
      <c r="Z152" s="104">
        <v>0</v>
      </c>
      <c r="AA152" s="104">
        <v>0</v>
      </c>
      <c r="AB152" s="104">
        <v>0</v>
      </c>
      <c r="AC152" s="104">
        <v>0</v>
      </c>
      <c r="AD152" s="104">
        <v>0</v>
      </c>
      <c r="AE152" s="104">
        <v>0</v>
      </c>
      <c r="AF152" s="104">
        <v>0</v>
      </c>
      <c r="AG152" s="104">
        <v>0</v>
      </c>
      <c r="AH152" s="104">
        <v>0</v>
      </c>
      <c r="AI152" s="104">
        <v>0</v>
      </c>
      <c r="AJ152" s="152">
        <f t="shared" si="39"/>
        <v>1660</v>
      </c>
      <c r="AK152" s="108">
        <f t="shared" si="37"/>
        <v>86.865515436944008</v>
      </c>
      <c r="AL152" s="152">
        <f t="shared" si="40"/>
        <v>402</v>
      </c>
      <c r="AM152" s="108">
        <f t="shared" si="41"/>
        <v>87.012987012987011</v>
      </c>
    </row>
    <row r="153" spans="1:40" x14ac:dyDescent="0.25">
      <c r="A153" s="104">
        <v>18</v>
      </c>
      <c r="B153" s="104" t="s">
        <v>330</v>
      </c>
      <c r="C153" s="104">
        <v>4</v>
      </c>
      <c r="D153" s="104">
        <v>2407</v>
      </c>
      <c r="E153" s="104">
        <v>582</v>
      </c>
      <c r="F153" s="104">
        <v>40</v>
      </c>
      <c r="G153" s="104">
        <v>17</v>
      </c>
      <c r="H153" s="104">
        <v>17</v>
      </c>
      <c r="I153" s="104">
        <v>50</v>
      </c>
      <c r="J153" s="104">
        <v>360</v>
      </c>
      <c r="K153" s="104">
        <v>0</v>
      </c>
      <c r="L153" s="104">
        <v>0</v>
      </c>
      <c r="M153" s="104">
        <v>0</v>
      </c>
      <c r="N153" s="104">
        <v>0</v>
      </c>
      <c r="O153" s="104">
        <v>0</v>
      </c>
      <c r="P153" s="104">
        <v>110</v>
      </c>
      <c r="Q153" s="104">
        <v>99</v>
      </c>
      <c r="R153" s="104">
        <v>460</v>
      </c>
      <c r="S153" s="104">
        <v>1782</v>
      </c>
      <c r="T153" s="104">
        <v>0</v>
      </c>
      <c r="U153" s="104">
        <v>0</v>
      </c>
      <c r="V153" s="104">
        <v>0</v>
      </c>
      <c r="W153" s="104">
        <v>0</v>
      </c>
      <c r="X153" s="104">
        <v>1</v>
      </c>
      <c r="Y153" s="104">
        <v>0</v>
      </c>
      <c r="Z153" s="104">
        <v>0</v>
      </c>
      <c r="AA153" s="104">
        <v>0</v>
      </c>
      <c r="AB153" s="104">
        <v>0</v>
      </c>
      <c r="AC153" s="104">
        <v>0</v>
      </c>
      <c r="AD153" s="104">
        <v>0</v>
      </c>
      <c r="AE153" s="104">
        <v>0</v>
      </c>
      <c r="AF153" s="104">
        <v>0</v>
      </c>
      <c r="AG153" s="104">
        <v>0</v>
      </c>
      <c r="AH153" s="104">
        <v>0</v>
      </c>
      <c r="AI153" s="104">
        <v>0</v>
      </c>
      <c r="AJ153" s="152">
        <f t="shared" si="39"/>
        <v>2142</v>
      </c>
      <c r="AK153" s="108">
        <f t="shared" si="37"/>
        <v>88.990444536767768</v>
      </c>
      <c r="AL153" s="152">
        <f t="shared" si="40"/>
        <v>510</v>
      </c>
      <c r="AM153" s="108">
        <f t="shared" si="41"/>
        <v>87.628865979381445</v>
      </c>
    </row>
    <row r="154" spans="1:40" x14ac:dyDescent="0.25">
      <c r="A154" s="107"/>
      <c r="B154" s="107" t="s">
        <v>329</v>
      </c>
      <c r="C154" s="107"/>
      <c r="D154" s="151">
        <f t="shared" ref="D154:AJ154" si="42">SUM(D136:D153)</f>
        <v>56886</v>
      </c>
      <c r="E154" s="151">
        <f t="shared" si="42"/>
        <v>13749</v>
      </c>
      <c r="F154" s="151">
        <f t="shared" si="42"/>
        <v>358</v>
      </c>
      <c r="G154" s="151">
        <f t="shared" si="42"/>
        <v>212</v>
      </c>
      <c r="H154" s="151">
        <f t="shared" si="42"/>
        <v>212</v>
      </c>
      <c r="I154" s="151">
        <f t="shared" si="42"/>
        <v>465</v>
      </c>
      <c r="J154" s="151">
        <f t="shared" si="42"/>
        <v>3006</v>
      </c>
      <c r="K154" s="151">
        <f t="shared" si="42"/>
        <v>3</v>
      </c>
      <c r="L154" s="151">
        <f t="shared" si="42"/>
        <v>3</v>
      </c>
      <c r="M154" s="151">
        <f t="shared" si="42"/>
        <v>3</v>
      </c>
      <c r="N154" s="151">
        <f t="shared" si="42"/>
        <v>4</v>
      </c>
      <c r="O154" s="151">
        <f t="shared" si="42"/>
        <v>20</v>
      </c>
      <c r="P154" s="151">
        <f t="shared" si="42"/>
        <v>5734</v>
      </c>
      <c r="Q154" s="151">
        <f t="shared" si="42"/>
        <v>4687</v>
      </c>
      <c r="R154" s="151">
        <f t="shared" si="42"/>
        <v>7631</v>
      </c>
      <c r="S154" s="151">
        <f t="shared" si="42"/>
        <v>31996</v>
      </c>
      <c r="T154" s="151">
        <f t="shared" si="42"/>
        <v>0</v>
      </c>
      <c r="U154" s="151">
        <f t="shared" si="42"/>
        <v>0</v>
      </c>
      <c r="V154" s="151">
        <f t="shared" si="42"/>
        <v>0</v>
      </c>
      <c r="W154" s="151">
        <f t="shared" si="42"/>
        <v>0</v>
      </c>
      <c r="X154" s="151">
        <f t="shared" si="42"/>
        <v>1</v>
      </c>
      <c r="Y154" s="151">
        <f t="shared" si="42"/>
        <v>0</v>
      </c>
      <c r="Z154" s="151">
        <f t="shared" si="42"/>
        <v>0</v>
      </c>
      <c r="AA154" s="151">
        <f t="shared" si="42"/>
        <v>0</v>
      </c>
      <c r="AB154" s="151">
        <f t="shared" si="42"/>
        <v>0</v>
      </c>
      <c r="AC154" s="151">
        <f t="shared" si="42"/>
        <v>0</v>
      </c>
      <c r="AD154" s="151">
        <f t="shared" si="42"/>
        <v>0</v>
      </c>
      <c r="AE154" s="151">
        <f t="shared" si="42"/>
        <v>0</v>
      </c>
      <c r="AF154" s="151">
        <f t="shared" si="42"/>
        <v>1717</v>
      </c>
      <c r="AG154" s="151">
        <f t="shared" si="42"/>
        <v>1425</v>
      </c>
      <c r="AH154" s="151">
        <f t="shared" si="42"/>
        <v>3929</v>
      </c>
      <c r="AI154" s="151">
        <f t="shared" si="42"/>
        <v>16409</v>
      </c>
      <c r="AJ154" s="151">
        <f t="shared" si="42"/>
        <v>51431</v>
      </c>
      <c r="AK154" s="106">
        <f t="shared" si="37"/>
        <v>90.410645853109727</v>
      </c>
      <c r="AL154" s="151">
        <f>SUM(AL136:AL153)</f>
        <v>12029</v>
      </c>
      <c r="AM154" s="106">
        <f t="shared" si="41"/>
        <v>87.489999272674382</v>
      </c>
      <c r="AN154" s="99">
        <v>91.31</v>
      </c>
    </row>
    <row r="155" spans="1:40" x14ac:dyDescent="0.25">
      <c r="A155" s="104">
        <v>1</v>
      </c>
      <c r="B155" s="104" t="s">
        <v>328</v>
      </c>
      <c r="C155" s="104">
        <v>4</v>
      </c>
      <c r="D155" s="104">
        <v>4271</v>
      </c>
      <c r="E155" s="104">
        <v>923</v>
      </c>
      <c r="F155" s="104">
        <v>10</v>
      </c>
      <c r="G155" s="104">
        <v>10</v>
      </c>
      <c r="H155" s="104">
        <v>10</v>
      </c>
      <c r="I155" s="104">
        <v>15</v>
      </c>
      <c r="J155" s="104">
        <v>67</v>
      </c>
      <c r="K155" s="104">
        <v>0</v>
      </c>
      <c r="L155" s="104">
        <v>0</v>
      </c>
      <c r="M155" s="104">
        <v>0</v>
      </c>
      <c r="N155" s="104">
        <v>0</v>
      </c>
      <c r="O155" s="104">
        <v>0</v>
      </c>
      <c r="P155" s="104">
        <v>592</v>
      </c>
      <c r="Q155" s="104">
        <v>583</v>
      </c>
      <c r="R155" s="104">
        <v>849</v>
      </c>
      <c r="S155" s="104">
        <v>3918</v>
      </c>
      <c r="T155" s="104">
        <v>0</v>
      </c>
      <c r="U155" s="104">
        <v>0</v>
      </c>
      <c r="V155" s="104">
        <v>0</v>
      </c>
      <c r="W155" s="104">
        <v>0</v>
      </c>
      <c r="X155" s="104">
        <v>0</v>
      </c>
      <c r="Y155" s="104">
        <v>0</v>
      </c>
      <c r="Z155" s="104">
        <v>0</v>
      </c>
      <c r="AA155" s="104">
        <v>0</v>
      </c>
      <c r="AB155" s="104">
        <v>0</v>
      </c>
      <c r="AC155" s="104">
        <v>0</v>
      </c>
      <c r="AD155" s="104">
        <v>0</v>
      </c>
      <c r="AE155" s="104">
        <v>0</v>
      </c>
      <c r="AF155" s="104">
        <v>0</v>
      </c>
      <c r="AG155" s="104">
        <v>0</v>
      </c>
      <c r="AH155" s="104">
        <v>0</v>
      </c>
      <c r="AI155" s="104">
        <v>0</v>
      </c>
      <c r="AJ155" s="104">
        <v>3985</v>
      </c>
      <c r="AK155" s="109">
        <v>93.30367595410911</v>
      </c>
      <c r="AL155" s="104">
        <v>864</v>
      </c>
      <c r="AM155" s="109">
        <v>93.607800650054173</v>
      </c>
    </row>
    <row r="156" spans="1:40" x14ac:dyDescent="0.25">
      <c r="A156" s="104">
        <v>2</v>
      </c>
      <c r="B156" s="104" t="s">
        <v>327</v>
      </c>
      <c r="C156" s="104">
        <v>3</v>
      </c>
      <c r="D156" s="104">
        <v>2431</v>
      </c>
      <c r="E156" s="104">
        <v>551</v>
      </c>
      <c r="F156" s="104">
        <v>12</v>
      </c>
      <c r="G156" s="104">
        <v>11</v>
      </c>
      <c r="H156" s="104">
        <v>11</v>
      </c>
      <c r="I156" s="104">
        <v>12</v>
      </c>
      <c r="J156" s="104">
        <v>63</v>
      </c>
      <c r="K156" s="104">
        <v>0</v>
      </c>
      <c r="L156" s="104">
        <v>0</v>
      </c>
      <c r="M156" s="104">
        <v>0</v>
      </c>
      <c r="N156" s="104">
        <v>0</v>
      </c>
      <c r="O156" s="104">
        <v>0</v>
      </c>
      <c r="P156" s="104">
        <v>427</v>
      </c>
      <c r="Q156" s="104">
        <v>423</v>
      </c>
      <c r="R156" s="104">
        <v>504</v>
      </c>
      <c r="S156" s="104">
        <v>2221</v>
      </c>
      <c r="T156" s="104">
        <v>0</v>
      </c>
      <c r="U156" s="104">
        <v>0</v>
      </c>
      <c r="V156" s="104">
        <v>0</v>
      </c>
      <c r="W156" s="104">
        <v>0</v>
      </c>
      <c r="X156" s="104">
        <v>0</v>
      </c>
      <c r="Y156" s="104">
        <v>0</v>
      </c>
      <c r="Z156" s="104">
        <v>0</v>
      </c>
      <c r="AA156" s="104">
        <v>0</v>
      </c>
      <c r="AB156" s="104">
        <v>0</v>
      </c>
      <c r="AC156" s="104">
        <v>0</v>
      </c>
      <c r="AD156" s="104">
        <v>0</v>
      </c>
      <c r="AE156" s="104">
        <v>0</v>
      </c>
      <c r="AF156" s="104">
        <v>0</v>
      </c>
      <c r="AG156" s="104">
        <v>0</v>
      </c>
      <c r="AH156" s="104">
        <v>0</v>
      </c>
      <c r="AI156" s="104">
        <v>0</v>
      </c>
      <c r="AJ156" s="104">
        <v>2284</v>
      </c>
      <c r="AK156" s="109">
        <v>93.953105717811596</v>
      </c>
      <c r="AL156" s="104">
        <v>516</v>
      </c>
      <c r="AM156" s="109">
        <v>93.647912885662436</v>
      </c>
    </row>
    <row r="157" spans="1:40" x14ac:dyDescent="0.25">
      <c r="A157" s="104">
        <v>3</v>
      </c>
      <c r="B157" s="104" t="s">
        <v>326</v>
      </c>
      <c r="C157" s="104">
        <v>2</v>
      </c>
      <c r="D157" s="104">
        <v>4362</v>
      </c>
      <c r="E157" s="104">
        <v>975</v>
      </c>
      <c r="F157" s="104">
        <v>14</v>
      </c>
      <c r="G157" s="104">
        <v>13</v>
      </c>
      <c r="H157" s="104">
        <v>13</v>
      </c>
      <c r="I157" s="104">
        <v>14</v>
      </c>
      <c r="J157" s="104">
        <v>70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849</v>
      </c>
      <c r="Q157" s="104">
        <v>840</v>
      </c>
      <c r="R157" s="104">
        <v>873</v>
      </c>
      <c r="S157" s="104">
        <v>3871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</v>
      </c>
      <c r="AF157" s="104">
        <v>7</v>
      </c>
      <c r="AG157" s="104">
        <v>7</v>
      </c>
      <c r="AH157" s="104">
        <v>32</v>
      </c>
      <c r="AI157" s="104">
        <v>161</v>
      </c>
      <c r="AJ157" s="104">
        <v>4102</v>
      </c>
      <c r="AK157" s="109">
        <v>94.039431453461717</v>
      </c>
      <c r="AL157" s="104">
        <v>919</v>
      </c>
      <c r="AM157" s="109">
        <v>94.256410256410263</v>
      </c>
    </row>
    <row r="158" spans="1:40" x14ac:dyDescent="0.25">
      <c r="A158" s="104">
        <v>4</v>
      </c>
      <c r="B158" s="104" t="s">
        <v>325</v>
      </c>
      <c r="C158" s="104">
        <v>4</v>
      </c>
      <c r="D158" s="104">
        <v>4706</v>
      </c>
      <c r="E158" s="104">
        <v>892</v>
      </c>
      <c r="F158" s="104">
        <v>15</v>
      </c>
      <c r="G158" s="104">
        <v>15</v>
      </c>
      <c r="H158" s="104">
        <v>15</v>
      </c>
      <c r="I158" s="104">
        <v>18</v>
      </c>
      <c r="J158" s="104">
        <v>51</v>
      </c>
      <c r="K158" s="104">
        <v>0</v>
      </c>
      <c r="L158" s="104">
        <v>0</v>
      </c>
      <c r="M158" s="104">
        <v>0</v>
      </c>
      <c r="N158" s="104">
        <v>0</v>
      </c>
      <c r="O158" s="104">
        <v>0</v>
      </c>
      <c r="P158" s="104">
        <v>807</v>
      </c>
      <c r="Q158" s="104">
        <v>795</v>
      </c>
      <c r="R158" s="104">
        <v>826</v>
      </c>
      <c r="S158" s="104">
        <v>4389</v>
      </c>
      <c r="T158" s="104">
        <v>0</v>
      </c>
      <c r="U158" s="104">
        <v>0</v>
      </c>
      <c r="V158" s="104">
        <v>0</v>
      </c>
      <c r="W158" s="104">
        <v>0</v>
      </c>
      <c r="X158" s="104">
        <v>0</v>
      </c>
      <c r="Y158" s="104">
        <v>0</v>
      </c>
      <c r="Z158" s="104">
        <v>0</v>
      </c>
      <c r="AA158" s="104">
        <v>0</v>
      </c>
      <c r="AB158" s="104">
        <v>0</v>
      </c>
      <c r="AC158" s="104">
        <v>0</v>
      </c>
      <c r="AD158" s="104">
        <v>0</v>
      </c>
      <c r="AE158" s="104">
        <v>0</v>
      </c>
      <c r="AF158" s="104">
        <v>0</v>
      </c>
      <c r="AG158" s="104">
        <v>0</v>
      </c>
      <c r="AH158" s="104">
        <v>0</v>
      </c>
      <c r="AI158" s="104">
        <v>0</v>
      </c>
      <c r="AJ158" s="104">
        <v>4440</v>
      </c>
      <c r="AK158" s="109">
        <v>94.347641308967283</v>
      </c>
      <c r="AL158" s="104">
        <v>844</v>
      </c>
      <c r="AM158" s="109">
        <v>94.618834080717491</v>
      </c>
    </row>
    <row r="159" spans="1:40" x14ac:dyDescent="0.25">
      <c r="A159" s="104">
        <v>5</v>
      </c>
      <c r="B159" s="104" t="s">
        <v>324</v>
      </c>
      <c r="C159" s="104">
        <v>3</v>
      </c>
      <c r="D159" s="104">
        <v>3323</v>
      </c>
      <c r="E159" s="104">
        <v>709</v>
      </c>
      <c r="F159" s="104">
        <v>20</v>
      </c>
      <c r="G159" s="104">
        <v>18</v>
      </c>
      <c r="H159" s="104">
        <v>18</v>
      </c>
      <c r="I159" s="104">
        <v>23</v>
      </c>
      <c r="J159" s="104">
        <v>141</v>
      </c>
      <c r="K159" s="104">
        <v>1</v>
      </c>
      <c r="L159" s="104">
        <v>1</v>
      </c>
      <c r="M159" s="104">
        <v>1</v>
      </c>
      <c r="N159" s="104">
        <v>1</v>
      </c>
      <c r="O159" s="104">
        <v>3</v>
      </c>
      <c r="P159" s="104">
        <v>578</v>
      </c>
      <c r="Q159" s="104">
        <v>534</v>
      </c>
      <c r="R159" s="104">
        <v>646</v>
      </c>
      <c r="S159" s="104">
        <v>3005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104">
        <v>0</v>
      </c>
      <c r="AH159" s="104">
        <v>0</v>
      </c>
      <c r="AI159" s="104">
        <v>0</v>
      </c>
      <c r="AJ159" s="104">
        <v>3149</v>
      </c>
      <c r="AK159" s="109">
        <v>94.763767679807401</v>
      </c>
      <c r="AL159" s="104">
        <v>670</v>
      </c>
      <c r="AM159" s="109">
        <v>94.499294781382233</v>
      </c>
    </row>
    <row r="160" spans="1:40" x14ac:dyDescent="0.25">
      <c r="A160" s="104">
        <v>6</v>
      </c>
      <c r="B160" s="104" t="s">
        <v>323</v>
      </c>
      <c r="C160" s="104">
        <v>3</v>
      </c>
      <c r="D160" s="104">
        <v>2032</v>
      </c>
      <c r="E160" s="104">
        <v>485</v>
      </c>
      <c r="F160" s="104">
        <v>17</v>
      </c>
      <c r="G160" s="104">
        <v>17</v>
      </c>
      <c r="H160" s="104">
        <v>17</v>
      </c>
      <c r="I160" s="104">
        <v>48</v>
      </c>
      <c r="J160" s="104">
        <v>221</v>
      </c>
      <c r="K160" s="104"/>
      <c r="L160" s="104"/>
      <c r="M160" s="104"/>
      <c r="N160" s="104"/>
      <c r="O160" s="104"/>
      <c r="P160" s="104">
        <v>332</v>
      </c>
      <c r="Q160" s="104">
        <v>327</v>
      </c>
      <c r="R160" s="104">
        <v>413</v>
      </c>
      <c r="S160" s="104">
        <v>1699</v>
      </c>
      <c r="T160" s="104">
        <v>0</v>
      </c>
      <c r="U160" s="104">
        <v>0</v>
      </c>
      <c r="V160" s="104">
        <v>0</v>
      </c>
      <c r="W160" s="104">
        <v>0</v>
      </c>
      <c r="X160" s="104">
        <v>1</v>
      </c>
      <c r="Y160" s="104">
        <v>0</v>
      </c>
      <c r="Z160" s="104">
        <v>0</v>
      </c>
      <c r="AA160" s="104">
        <v>0</v>
      </c>
      <c r="AB160" s="104">
        <v>0</v>
      </c>
      <c r="AC160" s="104">
        <v>0</v>
      </c>
      <c r="AD160" s="104">
        <v>0</v>
      </c>
      <c r="AE160" s="104">
        <v>0</v>
      </c>
      <c r="AF160" s="104">
        <v>9</v>
      </c>
      <c r="AG160" s="104">
        <v>9</v>
      </c>
      <c r="AH160" s="104">
        <v>9</v>
      </c>
      <c r="AI160" s="104">
        <v>49</v>
      </c>
      <c r="AJ160" s="104">
        <v>1969</v>
      </c>
      <c r="AK160" s="109">
        <v>96.899606299212607</v>
      </c>
      <c r="AL160" s="104">
        <v>470</v>
      </c>
      <c r="AM160" s="109">
        <v>96.907216494845358</v>
      </c>
    </row>
    <row r="161" spans="1:40" x14ac:dyDescent="0.25">
      <c r="A161" s="104">
        <v>7</v>
      </c>
      <c r="B161" s="104" t="s">
        <v>309</v>
      </c>
      <c r="C161" s="104">
        <v>4</v>
      </c>
      <c r="D161" s="104">
        <v>3290</v>
      </c>
      <c r="E161" s="104">
        <v>701</v>
      </c>
      <c r="F161" s="104">
        <v>2</v>
      </c>
      <c r="G161" s="104">
        <v>2</v>
      </c>
      <c r="H161" s="104">
        <v>2</v>
      </c>
      <c r="I161" s="104">
        <v>9</v>
      </c>
      <c r="J161" s="104">
        <v>41</v>
      </c>
      <c r="K161" s="104">
        <v>2</v>
      </c>
      <c r="L161" s="104">
        <v>2</v>
      </c>
      <c r="M161" s="104">
        <v>2</v>
      </c>
      <c r="N161" s="104">
        <v>3</v>
      </c>
      <c r="O161" s="104">
        <v>20</v>
      </c>
      <c r="P161" s="104">
        <v>599</v>
      </c>
      <c r="Q161" s="104">
        <v>555</v>
      </c>
      <c r="R161" s="104">
        <v>641</v>
      </c>
      <c r="S161" s="104">
        <v>2999</v>
      </c>
      <c r="T161" s="104">
        <v>0</v>
      </c>
      <c r="U161" s="104">
        <v>0</v>
      </c>
      <c r="V161" s="104">
        <v>0</v>
      </c>
      <c r="W161" s="104">
        <v>0</v>
      </c>
      <c r="X161" s="104">
        <v>0</v>
      </c>
      <c r="Y161" s="104">
        <v>0</v>
      </c>
      <c r="Z161" s="104">
        <v>0</v>
      </c>
      <c r="AA161" s="104">
        <v>0</v>
      </c>
      <c r="AB161" s="104">
        <v>0</v>
      </c>
      <c r="AC161" s="104">
        <v>0</v>
      </c>
      <c r="AD161" s="104">
        <v>0</v>
      </c>
      <c r="AE161" s="104">
        <v>0</v>
      </c>
      <c r="AF161" s="104">
        <v>0</v>
      </c>
      <c r="AG161" s="104">
        <v>0</v>
      </c>
      <c r="AH161" s="104">
        <v>0</v>
      </c>
      <c r="AI161" s="104">
        <v>0</v>
      </c>
      <c r="AJ161" s="104">
        <v>3060</v>
      </c>
      <c r="AK161" s="109">
        <v>93.00911854103343</v>
      </c>
      <c r="AL161" s="104">
        <v>653</v>
      </c>
      <c r="AM161" s="109">
        <v>93.152639087018542</v>
      </c>
    </row>
    <row r="162" spans="1:40" x14ac:dyDescent="0.25">
      <c r="A162" s="104">
        <v>8</v>
      </c>
      <c r="B162" s="104" t="s">
        <v>322</v>
      </c>
      <c r="C162" s="104">
        <v>3</v>
      </c>
      <c r="D162" s="104">
        <v>2018</v>
      </c>
      <c r="E162" s="104">
        <v>437</v>
      </c>
      <c r="F162" s="104">
        <v>2</v>
      </c>
      <c r="G162" s="104">
        <v>2</v>
      </c>
      <c r="H162" s="104">
        <v>2</v>
      </c>
      <c r="I162" s="104">
        <v>8</v>
      </c>
      <c r="J162" s="104">
        <v>38</v>
      </c>
      <c r="K162" s="104">
        <v>0</v>
      </c>
      <c r="L162" s="104">
        <v>0</v>
      </c>
      <c r="M162" s="104">
        <v>0</v>
      </c>
      <c r="N162" s="104">
        <v>0</v>
      </c>
      <c r="O162" s="104">
        <v>0</v>
      </c>
      <c r="P162" s="104">
        <v>344</v>
      </c>
      <c r="Q162" s="104">
        <v>337</v>
      </c>
      <c r="R162" s="104">
        <v>411</v>
      </c>
      <c r="S162" s="104">
        <v>1899</v>
      </c>
      <c r="T162" s="104">
        <v>0</v>
      </c>
      <c r="U162" s="104">
        <v>0</v>
      </c>
      <c r="V162" s="104">
        <v>0</v>
      </c>
      <c r="W162" s="104">
        <v>0</v>
      </c>
      <c r="X162" s="104">
        <v>0</v>
      </c>
      <c r="Y162" s="104">
        <v>0</v>
      </c>
      <c r="Z162" s="104">
        <v>0</v>
      </c>
      <c r="AA162" s="104">
        <v>0</v>
      </c>
      <c r="AB162" s="104">
        <v>0</v>
      </c>
      <c r="AC162" s="104">
        <v>0</v>
      </c>
      <c r="AD162" s="104">
        <v>0</v>
      </c>
      <c r="AE162" s="104">
        <v>0</v>
      </c>
      <c r="AF162" s="104">
        <v>0</v>
      </c>
      <c r="AG162" s="104">
        <v>0</v>
      </c>
      <c r="AH162" s="104">
        <v>0</v>
      </c>
      <c r="AI162" s="104">
        <v>0</v>
      </c>
      <c r="AJ162" s="104">
        <v>1937</v>
      </c>
      <c r="AK162" s="109">
        <v>95.986124876114971</v>
      </c>
      <c r="AL162" s="104">
        <v>419</v>
      </c>
      <c r="AM162" s="109">
        <v>95.881006864988564</v>
      </c>
    </row>
    <row r="163" spans="1:40" x14ac:dyDescent="0.25">
      <c r="A163" s="104">
        <v>9</v>
      </c>
      <c r="B163" s="104" t="s">
        <v>321</v>
      </c>
      <c r="C163" s="104">
        <v>3</v>
      </c>
      <c r="D163" s="104">
        <v>2271</v>
      </c>
      <c r="E163" s="104">
        <v>533</v>
      </c>
      <c r="F163" s="104">
        <v>5</v>
      </c>
      <c r="G163" s="104">
        <v>5</v>
      </c>
      <c r="H163" s="104">
        <v>5</v>
      </c>
      <c r="I163" s="104">
        <v>11</v>
      </c>
      <c r="J163" s="104">
        <v>30</v>
      </c>
      <c r="K163" s="104">
        <v>0</v>
      </c>
      <c r="L163" s="104">
        <v>0</v>
      </c>
      <c r="M163" s="104">
        <v>0</v>
      </c>
      <c r="N163" s="104">
        <v>0</v>
      </c>
      <c r="O163" s="104">
        <v>0</v>
      </c>
      <c r="P163" s="104">
        <v>442</v>
      </c>
      <c r="Q163" s="104">
        <v>403</v>
      </c>
      <c r="R163" s="104">
        <v>492</v>
      </c>
      <c r="S163" s="104">
        <v>2119</v>
      </c>
      <c r="T163" s="104">
        <v>0</v>
      </c>
      <c r="U163" s="104">
        <v>0</v>
      </c>
      <c r="V163" s="104">
        <v>0</v>
      </c>
      <c r="W163" s="104">
        <v>0</v>
      </c>
      <c r="X163" s="104">
        <v>0</v>
      </c>
      <c r="Y163" s="104">
        <v>0</v>
      </c>
      <c r="Z163" s="104">
        <v>0</v>
      </c>
      <c r="AA163" s="104">
        <v>0</v>
      </c>
      <c r="AB163" s="104">
        <v>0</v>
      </c>
      <c r="AC163" s="104">
        <v>0</v>
      </c>
      <c r="AD163" s="104">
        <v>0</v>
      </c>
      <c r="AE163" s="104">
        <v>0</v>
      </c>
      <c r="AF163" s="104">
        <v>0</v>
      </c>
      <c r="AG163" s="104">
        <v>0</v>
      </c>
      <c r="AH163" s="104">
        <v>0</v>
      </c>
      <c r="AI163" s="104">
        <v>0</v>
      </c>
      <c r="AJ163" s="104">
        <v>2149</v>
      </c>
      <c r="AK163" s="109">
        <v>94.627917217084985</v>
      </c>
      <c r="AL163" s="104">
        <v>503</v>
      </c>
      <c r="AM163" s="109">
        <v>94.371482176360217</v>
      </c>
    </row>
    <row r="164" spans="1:40" x14ac:dyDescent="0.25">
      <c r="A164" s="104">
        <v>10</v>
      </c>
      <c r="B164" s="104" t="s">
        <v>320</v>
      </c>
      <c r="C164" s="104">
        <v>2</v>
      </c>
      <c r="D164" s="104">
        <v>2446</v>
      </c>
      <c r="E164" s="104">
        <v>614</v>
      </c>
      <c r="F164" s="104">
        <v>16</v>
      </c>
      <c r="G164" s="104">
        <v>16</v>
      </c>
      <c r="H164" s="104">
        <v>16</v>
      </c>
      <c r="I164" s="104">
        <v>78</v>
      </c>
      <c r="J164" s="104">
        <v>229</v>
      </c>
      <c r="K164" s="104">
        <v>0</v>
      </c>
      <c r="L164" s="104">
        <v>0</v>
      </c>
      <c r="M164" s="104">
        <v>0</v>
      </c>
      <c r="N164" s="104">
        <v>0</v>
      </c>
      <c r="O164" s="104">
        <v>0</v>
      </c>
      <c r="P164" s="104">
        <v>443</v>
      </c>
      <c r="Q164" s="104">
        <v>376</v>
      </c>
      <c r="R164" s="104">
        <v>488</v>
      </c>
      <c r="S164" s="104">
        <v>2006</v>
      </c>
      <c r="T164" s="104">
        <v>0</v>
      </c>
      <c r="U164" s="104">
        <v>0</v>
      </c>
      <c r="V164" s="104">
        <v>0</v>
      </c>
      <c r="W164" s="104">
        <v>0</v>
      </c>
      <c r="X164" s="104">
        <v>0</v>
      </c>
      <c r="Y164" s="104">
        <v>0</v>
      </c>
      <c r="Z164" s="104">
        <v>0</v>
      </c>
      <c r="AA164" s="104">
        <v>0</v>
      </c>
      <c r="AB164" s="104">
        <v>0</v>
      </c>
      <c r="AC164" s="104">
        <v>0</v>
      </c>
      <c r="AD164" s="104">
        <v>0</v>
      </c>
      <c r="AE164" s="104">
        <v>0</v>
      </c>
      <c r="AF164" s="104">
        <v>21</v>
      </c>
      <c r="AG164" s="104">
        <v>21</v>
      </c>
      <c r="AH164" s="104">
        <v>21</v>
      </c>
      <c r="AI164" s="104">
        <v>101</v>
      </c>
      <c r="AJ164" s="104">
        <v>2336</v>
      </c>
      <c r="AK164" s="109">
        <v>95.502861815208504</v>
      </c>
      <c r="AL164" s="104">
        <v>587</v>
      </c>
      <c r="AM164" s="109">
        <v>95.602605863192181</v>
      </c>
    </row>
    <row r="165" spans="1:40" x14ac:dyDescent="0.25">
      <c r="A165" s="104">
        <v>11</v>
      </c>
      <c r="B165" s="104" t="s">
        <v>319</v>
      </c>
      <c r="C165" s="104">
        <v>2</v>
      </c>
      <c r="D165" s="104">
        <v>1832</v>
      </c>
      <c r="E165" s="104">
        <v>408</v>
      </c>
      <c r="F165" s="104">
        <v>21</v>
      </c>
      <c r="G165" s="104">
        <v>20</v>
      </c>
      <c r="H165" s="104">
        <v>20</v>
      </c>
      <c r="I165" s="104">
        <v>50</v>
      </c>
      <c r="J165" s="104">
        <v>257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243</v>
      </c>
      <c r="Q165" s="104">
        <v>202</v>
      </c>
      <c r="R165" s="104">
        <v>273</v>
      </c>
      <c r="S165" s="104">
        <v>1167</v>
      </c>
      <c r="T165" s="104">
        <v>0</v>
      </c>
      <c r="U165" s="104">
        <v>0</v>
      </c>
      <c r="V165" s="104">
        <v>0</v>
      </c>
      <c r="W165" s="104">
        <v>0</v>
      </c>
      <c r="X165" s="104">
        <v>1</v>
      </c>
      <c r="Y165" s="104">
        <v>0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48</v>
      </c>
      <c r="AG165" s="104">
        <v>48</v>
      </c>
      <c r="AH165" s="104">
        <v>50</v>
      </c>
      <c r="AI165" s="104">
        <v>253</v>
      </c>
      <c r="AJ165" s="104">
        <v>1677</v>
      </c>
      <c r="AK165" s="109">
        <v>91.539301310043669</v>
      </c>
      <c r="AL165" s="104">
        <v>373</v>
      </c>
      <c r="AM165" s="109">
        <v>91.421568627450981</v>
      </c>
    </row>
    <row r="166" spans="1:40" x14ac:dyDescent="0.25">
      <c r="A166" s="104">
        <v>12</v>
      </c>
      <c r="B166" s="104" t="s">
        <v>318</v>
      </c>
      <c r="C166" s="104">
        <v>3</v>
      </c>
      <c r="D166" s="104">
        <v>1467</v>
      </c>
      <c r="E166" s="104">
        <v>358</v>
      </c>
      <c r="F166" s="104">
        <v>1</v>
      </c>
      <c r="G166" s="104">
        <v>1</v>
      </c>
      <c r="H166" s="104">
        <v>1</v>
      </c>
      <c r="I166" s="104">
        <v>2</v>
      </c>
      <c r="J166" s="104">
        <v>15</v>
      </c>
      <c r="K166" s="104">
        <v>0</v>
      </c>
      <c r="L166" s="104">
        <v>0</v>
      </c>
      <c r="M166" s="104">
        <v>0</v>
      </c>
      <c r="N166" s="104">
        <v>0</v>
      </c>
      <c r="O166" s="104">
        <v>0</v>
      </c>
      <c r="P166" s="104">
        <v>108</v>
      </c>
      <c r="Q166" s="104">
        <v>64</v>
      </c>
      <c r="R166" s="104">
        <v>107</v>
      </c>
      <c r="S166" s="104">
        <v>366</v>
      </c>
      <c r="T166" s="104">
        <v>0</v>
      </c>
      <c r="U166" s="104">
        <v>0</v>
      </c>
      <c r="V166" s="104">
        <v>0</v>
      </c>
      <c r="W166" s="104">
        <v>0</v>
      </c>
      <c r="X166" s="104">
        <v>1</v>
      </c>
      <c r="Y166" s="104">
        <v>0</v>
      </c>
      <c r="Z166" s="104">
        <v>0</v>
      </c>
      <c r="AA166" s="104">
        <v>0</v>
      </c>
      <c r="AB166" s="104">
        <v>0</v>
      </c>
      <c r="AC166" s="104">
        <v>0</v>
      </c>
      <c r="AD166" s="104">
        <v>0</v>
      </c>
      <c r="AE166" s="104">
        <v>0</v>
      </c>
      <c r="AF166" s="104">
        <v>66</v>
      </c>
      <c r="AG166" s="104">
        <v>66</v>
      </c>
      <c r="AH166" s="104">
        <v>225</v>
      </c>
      <c r="AI166" s="104">
        <v>987</v>
      </c>
      <c r="AJ166" s="104">
        <v>1368</v>
      </c>
      <c r="AK166" s="109">
        <v>93.251533742331276</v>
      </c>
      <c r="AL166" s="104">
        <v>334</v>
      </c>
      <c r="AM166" s="109">
        <v>93.296089385474858</v>
      </c>
    </row>
    <row r="167" spans="1:40" x14ac:dyDescent="0.25">
      <c r="A167" s="104">
        <v>13</v>
      </c>
      <c r="B167" s="104" t="s">
        <v>317</v>
      </c>
      <c r="C167" s="104">
        <v>4</v>
      </c>
      <c r="D167" s="104">
        <v>2451</v>
      </c>
      <c r="E167" s="104">
        <v>416</v>
      </c>
      <c r="F167" s="104">
        <v>13</v>
      </c>
      <c r="G167" s="104">
        <v>13</v>
      </c>
      <c r="H167" s="104">
        <v>13</v>
      </c>
      <c r="I167" s="104">
        <v>38</v>
      </c>
      <c r="J167" s="104">
        <v>146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20</v>
      </c>
      <c r="Q167" s="104">
        <v>20</v>
      </c>
      <c r="R167" s="104">
        <v>37</v>
      </c>
      <c r="S167" s="104">
        <v>111</v>
      </c>
      <c r="T167" s="104">
        <v>0</v>
      </c>
      <c r="U167" s="104">
        <v>0</v>
      </c>
      <c r="V167" s="104">
        <v>0</v>
      </c>
      <c r="W167" s="104">
        <v>0</v>
      </c>
      <c r="X167" s="104">
        <v>1</v>
      </c>
      <c r="Y167" s="104">
        <v>0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153</v>
      </c>
      <c r="AG167" s="104">
        <v>148</v>
      </c>
      <c r="AH167" s="104">
        <v>304</v>
      </c>
      <c r="AI167" s="104">
        <v>1980</v>
      </c>
      <c r="AJ167" s="104">
        <v>2237</v>
      </c>
      <c r="AK167" s="109">
        <v>91.268869849041209</v>
      </c>
      <c r="AL167" s="104">
        <v>379</v>
      </c>
      <c r="AM167" s="109">
        <v>91.105769230769226</v>
      </c>
    </row>
    <row r="168" spans="1:40" x14ac:dyDescent="0.25">
      <c r="A168" s="104">
        <v>14</v>
      </c>
      <c r="B168" s="104" t="s">
        <v>316</v>
      </c>
      <c r="C168" s="104">
        <v>3</v>
      </c>
      <c r="D168" s="104">
        <v>1087</v>
      </c>
      <c r="E168" s="104">
        <v>261</v>
      </c>
      <c r="F168" s="104">
        <v>15</v>
      </c>
      <c r="G168" s="104">
        <v>15</v>
      </c>
      <c r="H168" s="104">
        <v>15</v>
      </c>
      <c r="I168" s="104">
        <v>39</v>
      </c>
      <c r="J168" s="104">
        <v>195</v>
      </c>
      <c r="K168" s="104">
        <v>0</v>
      </c>
      <c r="L168" s="104">
        <v>0</v>
      </c>
      <c r="M168" s="104">
        <v>0</v>
      </c>
      <c r="N168" s="104">
        <v>0</v>
      </c>
      <c r="O168" s="104">
        <v>0</v>
      </c>
      <c r="P168" s="104">
        <v>22</v>
      </c>
      <c r="Q168" s="104">
        <v>22</v>
      </c>
      <c r="R168" s="104">
        <v>22</v>
      </c>
      <c r="S168" s="104">
        <v>75</v>
      </c>
      <c r="T168" s="104">
        <v>0</v>
      </c>
      <c r="U168" s="104">
        <v>0</v>
      </c>
      <c r="V168" s="104">
        <v>0</v>
      </c>
      <c r="W168" s="104">
        <v>0</v>
      </c>
      <c r="X168" s="104">
        <v>1</v>
      </c>
      <c r="Y168" s="104">
        <v>0</v>
      </c>
      <c r="Z168" s="104">
        <v>0</v>
      </c>
      <c r="AA168" s="104">
        <v>0</v>
      </c>
      <c r="AB168" s="104">
        <v>0</v>
      </c>
      <c r="AC168" s="104">
        <v>0</v>
      </c>
      <c r="AD168" s="104">
        <v>0</v>
      </c>
      <c r="AE168" s="104">
        <v>0</v>
      </c>
      <c r="AF168" s="104">
        <v>84</v>
      </c>
      <c r="AG168" s="104">
        <v>81</v>
      </c>
      <c r="AH168" s="104">
        <v>171</v>
      </c>
      <c r="AI168" s="104">
        <v>697</v>
      </c>
      <c r="AJ168" s="104">
        <v>967</v>
      </c>
      <c r="AK168" s="109">
        <v>88.960441582336699</v>
      </c>
      <c r="AL168" s="104">
        <v>232</v>
      </c>
      <c r="AM168" s="109">
        <v>88.888888888888886</v>
      </c>
    </row>
    <row r="169" spans="1:40" x14ac:dyDescent="0.25">
      <c r="A169" s="113"/>
      <c r="B169" s="113" t="s">
        <v>315</v>
      </c>
      <c r="C169" s="113"/>
      <c r="D169" s="148">
        <f t="shared" ref="D169:AJ169" si="43">SUM(D155:D168)</f>
        <v>37987</v>
      </c>
      <c r="E169" s="148">
        <f t="shared" si="43"/>
        <v>8263</v>
      </c>
      <c r="F169" s="148">
        <f t="shared" si="43"/>
        <v>163</v>
      </c>
      <c r="G169" s="148">
        <f t="shared" si="43"/>
        <v>158</v>
      </c>
      <c r="H169" s="148">
        <f t="shared" si="43"/>
        <v>158</v>
      </c>
      <c r="I169" s="148">
        <f t="shared" si="43"/>
        <v>365</v>
      </c>
      <c r="J169" s="148">
        <f t="shared" si="43"/>
        <v>1564</v>
      </c>
      <c r="K169" s="148">
        <f t="shared" si="43"/>
        <v>3</v>
      </c>
      <c r="L169" s="148">
        <f t="shared" si="43"/>
        <v>3</v>
      </c>
      <c r="M169" s="148">
        <f t="shared" si="43"/>
        <v>3</v>
      </c>
      <c r="N169" s="148">
        <f t="shared" si="43"/>
        <v>4</v>
      </c>
      <c r="O169" s="148">
        <f t="shared" si="43"/>
        <v>23</v>
      </c>
      <c r="P169" s="148">
        <f t="shared" si="43"/>
        <v>5806</v>
      </c>
      <c r="Q169" s="148">
        <f t="shared" si="43"/>
        <v>5481</v>
      </c>
      <c r="R169" s="148">
        <f t="shared" si="43"/>
        <v>6582</v>
      </c>
      <c r="S169" s="148">
        <f t="shared" si="43"/>
        <v>29845</v>
      </c>
      <c r="T169" s="148">
        <f t="shared" si="43"/>
        <v>0</v>
      </c>
      <c r="U169" s="148">
        <f t="shared" si="43"/>
        <v>0</v>
      </c>
      <c r="V169" s="148">
        <f t="shared" si="43"/>
        <v>0</v>
      </c>
      <c r="W169" s="148">
        <f t="shared" si="43"/>
        <v>0</v>
      </c>
      <c r="X169" s="148">
        <f t="shared" si="43"/>
        <v>5</v>
      </c>
      <c r="Y169" s="148">
        <f t="shared" si="43"/>
        <v>0</v>
      </c>
      <c r="Z169" s="148">
        <f t="shared" si="43"/>
        <v>0</v>
      </c>
      <c r="AA169" s="148">
        <f t="shared" si="43"/>
        <v>0</v>
      </c>
      <c r="AB169" s="148">
        <f t="shared" si="43"/>
        <v>0</v>
      </c>
      <c r="AC169" s="148">
        <f t="shared" si="43"/>
        <v>0</v>
      </c>
      <c r="AD169" s="148">
        <f t="shared" si="43"/>
        <v>0</v>
      </c>
      <c r="AE169" s="148">
        <f t="shared" si="43"/>
        <v>0</v>
      </c>
      <c r="AF169" s="148">
        <f t="shared" si="43"/>
        <v>388</v>
      </c>
      <c r="AG169" s="148">
        <f t="shared" si="43"/>
        <v>380</v>
      </c>
      <c r="AH169" s="148">
        <f t="shared" si="43"/>
        <v>812</v>
      </c>
      <c r="AI169" s="148">
        <f t="shared" si="43"/>
        <v>4228</v>
      </c>
      <c r="AJ169" s="148">
        <f t="shared" si="43"/>
        <v>35660</v>
      </c>
      <c r="AK169" s="106">
        <f>AJ169/D169*100</f>
        <v>93.8742201279385</v>
      </c>
      <c r="AL169" s="148">
        <f>SUM(AL155:AL168)</f>
        <v>7763</v>
      </c>
      <c r="AM169" s="150">
        <f>AL169/E169*100</f>
        <v>93.948928960425988</v>
      </c>
      <c r="AN169" s="99">
        <v>89.68</v>
      </c>
    </row>
    <row r="170" spans="1:40" x14ac:dyDescent="0.25">
      <c r="A170" s="104">
        <v>1</v>
      </c>
      <c r="B170" s="104" t="s">
        <v>314</v>
      </c>
      <c r="C170" s="104">
        <v>3</v>
      </c>
      <c r="D170" s="104">
        <v>2346</v>
      </c>
      <c r="E170" s="104">
        <v>620</v>
      </c>
      <c r="F170" s="104">
        <v>3</v>
      </c>
      <c r="G170" s="104">
        <v>3</v>
      </c>
      <c r="H170" s="104">
        <v>3</v>
      </c>
      <c r="I170" s="104">
        <v>25</v>
      </c>
      <c r="J170" s="104">
        <v>87</v>
      </c>
      <c r="K170" s="104">
        <v>0</v>
      </c>
      <c r="L170" s="104">
        <v>0</v>
      </c>
      <c r="M170" s="104">
        <v>0</v>
      </c>
      <c r="N170" s="104">
        <v>0</v>
      </c>
      <c r="O170" s="104">
        <v>0</v>
      </c>
      <c r="P170" s="104">
        <v>279</v>
      </c>
      <c r="Q170" s="104">
        <v>279</v>
      </c>
      <c r="R170" s="104">
        <v>380</v>
      </c>
      <c r="S170" s="104">
        <v>1320</v>
      </c>
      <c r="T170" s="104"/>
      <c r="U170" s="104"/>
      <c r="V170" s="104"/>
      <c r="W170" s="104"/>
      <c r="X170" s="104">
        <v>0</v>
      </c>
      <c r="Y170" s="104">
        <v>0</v>
      </c>
      <c r="Z170" s="104">
        <v>0</v>
      </c>
      <c r="AA170" s="104">
        <v>0</v>
      </c>
      <c r="AB170" s="104"/>
      <c r="AC170" s="104"/>
      <c r="AD170" s="104"/>
      <c r="AE170" s="104"/>
      <c r="AF170" s="104">
        <v>96</v>
      </c>
      <c r="AG170" s="104">
        <v>96</v>
      </c>
      <c r="AH170" s="104">
        <v>130</v>
      </c>
      <c r="AI170" s="104">
        <v>710</v>
      </c>
      <c r="AJ170" s="104">
        <v>2077</v>
      </c>
      <c r="AK170" s="109">
        <v>88.533674339300944</v>
      </c>
      <c r="AL170" s="104">
        <v>570</v>
      </c>
      <c r="AM170" s="109">
        <v>91.935483870967744</v>
      </c>
    </row>
    <row r="171" spans="1:40" x14ac:dyDescent="0.25">
      <c r="A171" s="104">
        <v>2</v>
      </c>
      <c r="B171" s="104" t="s">
        <v>313</v>
      </c>
      <c r="C171" s="104">
        <v>4</v>
      </c>
      <c r="D171" s="104">
        <v>3620</v>
      </c>
      <c r="E171" s="104">
        <v>973</v>
      </c>
      <c r="F171" s="104">
        <v>13</v>
      </c>
      <c r="G171" s="104">
        <v>12</v>
      </c>
      <c r="H171" s="104">
        <v>12</v>
      </c>
      <c r="I171" s="104">
        <v>48</v>
      </c>
      <c r="J171" s="104">
        <v>120</v>
      </c>
      <c r="K171" s="104">
        <v>0</v>
      </c>
      <c r="L171" s="104">
        <v>0</v>
      </c>
      <c r="M171" s="104">
        <v>0</v>
      </c>
      <c r="N171" s="104">
        <v>0</v>
      </c>
      <c r="O171" s="104">
        <v>0</v>
      </c>
      <c r="P171" s="104">
        <v>382</v>
      </c>
      <c r="Q171" s="104">
        <v>382</v>
      </c>
      <c r="R171" s="104">
        <v>530</v>
      </c>
      <c r="S171" s="104">
        <v>2497</v>
      </c>
      <c r="T171" s="104"/>
      <c r="U171" s="104"/>
      <c r="V171" s="104"/>
      <c r="W171" s="104"/>
      <c r="X171" s="104">
        <v>0</v>
      </c>
      <c r="Y171" s="104">
        <v>0</v>
      </c>
      <c r="Z171" s="104">
        <v>0</v>
      </c>
      <c r="AA171" s="104">
        <v>0</v>
      </c>
      <c r="AB171" s="104"/>
      <c r="AC171" s="104"/>
      <c r="AD171" s="104"/>
      <c r="AE171" s="104"/>
      <c r="AF171" s="104">
        <v>85</v>
      </c>
      <c r="AG171" s="104">
        <v>85</v>
      </c>
      <c r="AH171" s="104">
        <v>165</v>
      </c>
      <c r="AI171" s="104">
        <v>485</v>
      </c>
      <c r="AJ171" s="104">
        <v>3102</v>
      </c>
      <c r="AK171" s="109">
        <v>85.690607734806633</v>
      </c>
      <c r="AL171" s="104">
        <v>858</v>
      </c>
      <c r="AM171" s="109">
        <v>88.180883864337105</v>
      </c>
    </row>
    <row r="172" spans="1:40" x14ac:dyDescent="0.25">
      <c r="A172" s="104">
        <v>3</v>
      </c>
      <c r="B172" s="104" t="s">
        <v>312</v>
      </c>
      <c r="C172" s="104">
        <v>3</v>
      </c>
      <c r="D172" s="104">
        <v>3006</v>
      </c>
      <c r="E172" s="104">
        <v>805</v>
      </c>
      <c r="F172" s="104">
        <v>17</v>
      </c>
      <c r="G172" s="104">
        <v>15</v>
      </c>
      <c r="H172" s="104">
        <v>15</v>
      </c>
      <c r="I172" s="104">
        <v>95</v>
      </c>
      <c r="J172" s="104">
        <v>336</v>
      </c>
      <c r="K172" s="104">
        <v>0</v>
      </c>
      <c r="L172" s="104">
        <v>0</v>
      </c>
      <c r="M172" s="104">
        <v>0</v>
      </c>
      <c r="N172" s="104">
        <v>0</v>
      </c>
      <c r="O172" s="104">
        <v>0</v>
      </c>
      <c r="P172" s="104">
        <v>343</v>
      </c>
      <c r="Q172" s="104">
        <v>343</v>
      </c>
      <c r="R172" s="104">
        <v>485</v>
      </c>
      <c r="S172" s="104">
        <v>2134</v>
      </c>
      <c r="T172" s="104"/>
      <c r="U172" s="104"/>
      <c r="V172" s="104"/>
      <c r="W172" s="104"/>
      <c r="X172" s="104">
        <v>0</v>
      </c>
      <c r="Y172" s="104">
        <v>0</v>
      </c>
      <c r="Z172" s="104">
        <v>0</v>
      </c>
      <c r="AA172" s="104">
        <v>0</v>
      </c>
      <c r="AB172" s="104"/>
      <c r="AC172" s="104"/>
      <c r="AD172" s="104"/>
      <c r="AE172" s="104"/>
      <c r="AF172" s="104">
        <v>0</v>
      </c>
      <c r="AG172" s="104">
        <v>0</v>
      </c>
      <c r="AH172" s="104">
        <v>0</v>
      </c>
      <c r="AI172" s="104">
        <v>0</v>
      </c>
      <c r="AJ172" s="104">
        <v>2470</v>
      </c>
      <c r="AK172" s="109">
        <v>82.168995342648032</v>
      </c>
      <c r="AL172" s="104">
        <v>635</v>
      </c>
      <c r="AM172" s="109">
        <v>78.881987577639762</v>
      </c>
    </row>
    <row r="173" spans="1:40" x14ac:dyDescent="0.25">
      <c r="A173" s="104">
        <v>4</v>
      </c>
      <c r="B173" s="104" t="s">
        <v>311</v>
      </c>
      <c r="C173" s="104">
        <v>4</v>
      </c>
      <c r="D173" s="104">
        <v>4456</v>
      </c>
      <c r="E173" s="104">
        <v>1282</v>
      </c>
      <c r="F173" s="104">
        <v>11</v>
      </c>
      <c r="G173" s="104">
        <v>8</v>
      </c>
      <c r="H173" s="104">
        <v>8</v>
      </c>
      <c r="I173" s="104">
        <v>22</v>
      </c>
      <c r="J173" s="104">
        <v>72</v>
      </c>
      <c r="K173" s="104">
        <v>0</v>
      </c>
      <c r="L173" s="104">
        <v>0</v>
      </c>
      <c r="M173" s="104">
        <v>0</v>
      </c>
      <c r="N173" s="104">
        <v>0</v>
      </c>
      <c r="O173" s="104">
        <v>0</v>
      </c>
      <c r="P173" s="104">
        <v>635</v>
      </c>
      <c r="Q173" s="104">
        <v>635</v>
      </c>
      <c r="R173" s="104">
        <v>972</v>
      </c>
      <c r="S173" s="104">
        <v>3725</v>
      </c>
      <c r="T173" s="104"/>
      <c r="U173" s="104"/>
      <c r="V173" s="104"/>
      <c r="W173" s="104"/>
      <c r="X173" s="104">
        <v>0</v>
      </c>
      <c r="Y173" s="104">
        <v>0</v>
      </c>
      <c r="Z173" s="104">
        <v>0</v>
      </c>
      <c r="AA173" s="104">
        <v>0</v>
      </c>
      <c r="AB173" s="104"/>
      <c r="AC173" s="104"/>
      <c r="AD173" s="104"/>
      <c r="AE173" s="104"/>
      <c r="AF173" s="104">
        <v>35</v>
      </c>
      <c r="AG173" s="104">
        <v>35</v>
      </c>
      <c r="AH173" s="104">
        <v>98</v>
      </c>
      <c r="AI173" s="104">
        <v>275</v>
      </c>
      <c r="AJ173" s="104">
        <v>4347</v>
      </c>
      <c r="AK173" s="109">
        <v>97.553859964093363</v>
      </c>
      <c r="AL173" s="104">
        <v>1135</v>
      </c>
      <c r="AM173" s="109">
        <v>88.53354134165366</v>
      </c>
    </row>
    <row r="174" spans="1:40" x14ac:dyDescent="0.25">
      <c r="A174" s="104">
        <v>5</v>
      </c>
      <c r="B174" s="104" t="s">
        <v>310</v>
      </c>
      <c r="C174" s="104">
        <v>5</v>
      </c>
      <c r="D174" s="104">
        <v>4033</v>
      </c>
      <c r="E174" s="104">
        <v>1082</v>
      </c>
      <c r="F174" s="104">
        <v>4</v>
      </c>
      <c r="G174" s="104">
        <v>2</v>
      </c>
      <c r="H174" s="104">
        <v>2</v>
      </c>
      <c r="I174" s="104">
        <v>8</v>
      </c>
      <c r="J174" s="104">
        <v>27</v>
      </c>
      <c r="K174" s="104">
        <v>0</v>
      </c>
      <c r="L174" s="104">
        <v>0</v>
      </c>
      <c r="M174" s="104">
        <v>0</v>
      </c>
      <c r="N174" s="104">
        <v>0</v>
      </c>
      <c r="O174" s="104">
        <v>0</v>
      </c>
      <c r="P174" s="104">
        <v>592</v>
      </c>
      <c r="Q174" s="104">
        <v>592</v>
      </c>
      <c r="R174" s="104">
        <v>860</v>
      </c>
      <c r="S174" s="104">
        <v>3325</v>
      </c>
      <c r="T174" s="104"/>
      <c r="U174" s="104"/>
      <c r="V174" s="104"/>
      <c r="W174" s="104"/>
      <c r="X174" s="104">
        <v>0</v>
      </c>
      <c r="Y174" s="104">
        <v>0</v>
      </c>
      <c r="Z174" s="104">
        <v>0</v>
      </c>
      <c r="AA174" s="104">
        <v>0</v>
      </c>
      <c r="AB174" s="104"/>
      <c r="AC174" s="104"/>
      <c r="AD174" s="104"/>
      <c r="AE174" s="104"/>
      <c r="AF174" s="104">
        <v>40</v>
      </c>
      <c r="AG174" s="104">
        <v>40</v>
      </c>
      <c r="AH174" s="104">
        <v>85</v>
      </c>
      <c r="AI174" s="104">
        <v>298</v>
      </c>
      <c r="AJ174" s="104">
        <v>3650</v>
      </c>
      <c r="AK174" s="109">
        <v>90.503347384081337</v>
      </c>
      <c r="AL174" s="104">
        <v>985</v>
      </c>
      <c r="AM174" s="109">
        <v>91.035120147874309</v>
      </c>
    </row>
    <row r="175" spans="1:40" x14ac:dyDescent="0.25">
      <c r="A175" s="104">
        <v>6</v>
      </c>
      <c r="B175" s="104" t="s">
        <v>309</v>
      </c>
      <c r="C175" s="104">
        <v>5</v>
      </c>
      <c r="D175" s="104">
        <v>4748</v>
      </c>
      <c r="E175" s="104">
        <v>1329</v>
      </c>
      <c r="F175" s="104">
        <v>58</v>
      </c>
      <c r="G175" s="104">
        <v>46</v>
      </c>
      <c r="H175" s="104">
        <v>46</v>
      </c>
      <c r="I175" s="104">
        <v>167</v>
      </c>
      <c r="J175" s="104">
        <v>785</v>
      </c>
      <c r="K175" s="104">
        <v>0</v>
      </c>
      <c r="L175" s="104">
        <v>0</v>
      </c>
      <c r="M175" s="104">
        <v>0</v>
      </c>
      <c r="N175" s="104">
        <v>0</v>
      </c>
      <c r="O175" s="104">
        <v>0</v>
      </c>
      <c r="P175" s="104">
        <v>362</v>
      </c>
      <c r="Q175" s="104">
        <v>362</v>
      </c>
      <c r="R175" s="104">
        <v>785</v>
      </c>
      <c r="S175" s="104">
        <v>2998</v>
      </c>
      <c r="T175" s="104"/>
      <c r="U175" s="104"/>
      <c r="V175" s="104"/>
      <c r="W175" s="104"/>
      <c r="X175" s="104">
        <v>0</v>
      </c>
      <c r="Y175" s="104">
        <v>0</v>
      </c>
      <c r="Z175" s="104">
        <v>0</v>
      </c>
      <c r="AA175" s="104">
        <v>0</v>
      </c>
      <c r="AB175" s="104"/>
      <c r="AC175" s="104"/>
      <c r="AD175" s="104"/>
      <c r="AE175" s="104"/>
      <c r="AF175" s="104">
        <v>0</v>
      </c>
      <c r="AG175" s="104">
        <v>0</v>
      </c>
      <c r="AH175" s="104">
        <v>0</v>
      </c>
      <c r="AI175" s="104">
        <v>0</v>
      </c>
      <c r="AJ175" s="104">
        <v>3785</v>
      </c>
      <c r="AK175" s="109">
        <v>79.717775905644487</v>
      </c>
      <c r="AL175" s="104">
        <v>994</v>
      </c>
      <c r="AM175" s="109">
        <v>74.793077501881115</v>
      </c>
    </row>
    <row r="176" spans="1:40" x14ac:dyDescent="0.25">
      <c r="A176" s="104">
        <v>7</v>
      </c>
      <c r="B176" s="104" t="s">
        <v>308</v>
      </c>
      <c r="C176" s="104">
        <v>2</v>
      </c>
      <c r="D176" s="104">
        <v>1898</v>
      </c>
      <c r="E176" s="104">
        <v>495</v>
      </c>
      <c r="F176" s="104">
        <v>83</v>
      </c>
      <c r="G176" s="104">
        <v>81</v>
      </c>
      <c r="H176" s="104">
        <v>81</v>
      </c>
      <c r="I176" s="104">
        <v>120</v>
      </c>
      <c r="J176" s="104">
        <v>575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116</v>
      </c>
      <c r="Q176" s="104">
        <v>116</v>
      </c>
      <c r="R176" s="104">
        <v>245</v>
      </c>
      <c r="S176" s="104">
        <v>945</v>
      </c>
      <c r="T176" s="104"/>
      <c r="U176" s="104"/>
      <c r="V176" s="104"/>
      <c r="W176" s="104"/>
      <c r="X176" s="104">
        <v>0</v>
      </c>
      <c r="Y176" s="104">
        <v>0</v>
      </c>
      <c r="Z176" s="104">
        <v>0</v>
      </c>
      <c r="AA176" s="104">
        <v>0</v>
      </c>
      <c r="AB176" s="104"/>
      <c r="AC176" s="104"/>
      <c r="AD176" s="104"/>
      <c r="AE176" s="104"/>
      <c r="AF176" s="104">
        <v>0</v>
      </c>
      <c r="AG176" s="104">
        <v>0</v>
      </c>
      <c r="AH176" s="104">
        <v>0</v>
      </c>
      <c r="AI176" s="104">
        <v>0</v>
      </c>
      <c r="AJ176" s="104">
        <v>1520</v>
      </c>
      <c r="AK176" s="109">
        <v>80.08429926238145</v>
      </c>
      <c r="AL176" s="104">
        <v>386</v>
      </c>
      <c r="AM176" s="109">
        <v>77.979797979797979</v>
      </c>
    </row>
    <row r="177" spans="1:40" x14ac:dyDescent="0.25">
      <c r="A177" s="104">
        <v>8</v>
      </c>
      <c r="B177" s="104" t="s">
        <v>307</v>
      </c>
      <c r="C177" s="104">
        <v>3</v>
      </c>
      <c r="D177" s="104">
        <v>1341</v>
      </c>
      <c r="E177" s="104">
        <v>354</v>
      </c>
      <c r="F177" s="104">
        <v>35</v>
      </c>
      <c r="G177" s="104">
        <v>28</v>
      </c>
      <c r="H177" s="104">
        <v>28</v>
      </c>
      <c r="I177" s="104">
        <v>46</v>
      </c>
      <c r="J177" s="104">
        <v>272</v>
      </c>
      <c r="K177" s="104">
        <v>0</v>
      </c>
      <c r="L177" s="104">
        <v>0</v>
      </c>
      <c r="M177" s="104">
        <v>0</v>
      </c>
      <c r="N177" s="104">
        <v>0</v>
      </c>
      <c r="O177" s="104">
        <v>0</v>
      </c>
      <c r="P177" s="104">
        <v>108</v>
      </c>
      <c r="Q177" s="104">
        <v>108</v>
      </c>
      <c r="R177" s="104">
        <v>217</v>
      </c>
      <c r="S177" s="104">
        <v>835</v>
      </c>
      <c r="T177" s="104"/>
      <c r="U177" s="104"/>
      <c r="V177" s="104"/>
      <c r="W177" s="104"/>
      <c r="X177" s="104">
        <v>0</v>
      </c>
      <c r="Y177" s="104">
        <v>0</v>
      </c>
      <c r="Z177" s="104">
        <v>0</v>
      </c>
      <c r="AA177" s="104">
        <v>0</v>
      </c>
      <c r="AB177" s="104"/>
      <c r="AC177" s="104"/>
      <c r="AD177" s="104"/>
      <c r="AE177" s="104"/>
      <c r="AF177" s="104">
        <v>0</v>
      </c>
      <c r="AG177" s="104">
        <v>0</v>
      </c>
      <c r="AH177" s="104">
        <v>0</v>
      </c>
      <c r="AI177" s="104">
        <v>0</v>
      </c>
      <c r="AJ177" s="104">
        <v>1107</v>
      </c>
      <c r="AK177" s="109">
        <v>82.550335570469798</v>
      </c>
      <c r="AL177" s="104">
        <v>286</v>
      </c>
      <c r="AM177" s="109">
        <v>80.790960451977398</v>
      </c>
    </row>
    <row r="178" spans="1:40" x14ac:dyDescent="0.25">
      <c r="A178" s="104">
        <v>9</v>
      </c>
      <c r="B178" s="104" t="s">
        <v>306</v>
      </c>
      <c r="C178" s="104">
        <v>3</v>
      </c>
      <c r="D178" s="104">
        <v>1612</v>
      </c>
      <c r="E178" s="104">
        <v>438</v>
      </c>
      <c r="F178" s="104">
        <v>16</v>
      </c>
      <c r="G178" s="104">
        <v>13</v>
      </c>
      <c r="H178" s="104">
        <v>13</v>
      </c>
      <c r="I178" s="104">
        <v>18</v>
      </c>
      <c r="J178" s="104">
        <v>98</v>
      </c>
      <c r="K178" s="104">
        <v>0</v>
      </c>
      <c r="L178" s="104">
        <v>0</v>
      </c>
      <c r="M178" s="104">
        <v>0</v>
      </c>
      <c r="N178" s="104">
        <v>0</v>
      </c>
      <c r="O178" s="104">
        <v>0</v>
      </c>
      <c r="P178" s="104">
        <v>92</v>
      </c>
      <c r="Q178" s="104">
        <v>92</v>
      </c>
      <c r="R178" s="104">
        <v>160</v>
      </c>
      <c r="S178" s="104">
        <v>538</v>
      </c>
      <c r="T178" s="104"/>
      <c r="U178" s="104"/>
      <c r="V178" s="104"/>
      <c r="W178" s="104"/>
      <c r="X178" s="104">
        <v>0</v>
      </c>
      <c r="Y178" s="104">
        <v>0</v>
      </c>
      <c r="Z178" s="104">
        <v>0</v>
      </c>
      <c r="AA178" s="104">
        <v>0</v>
      </c>
      <c r="AB178" s="104"/>
      <c r="AC178" s="104"/>
      <c r="AD178" s="104"/>
      <c r="AE178" s="104"/>
      <c r="AF178" s="104">
        <v>72</v>
      </c>
      <c r="AG178" s="104">
        <v>72</v>
      </c>
      <c r="AH178" s="104">
        <v>120</v>
      </c>
      <c r="AI178" s="104">
        <v>495</v>
      </c>
      <c r="AJ178" s="104">
        <v>1270</v>
      </c>
      <c r="AK178" s="109">
        <v>78.784119106699762</v>
      </c>
      <c r="AL178" s="104">
        <v>298</v>
      </c>
      <c r="AM178" s="109">
        <v>68.036529680365305</v>
      </c>
    </row>
    <row r="179" spans="1:40" x14ac:dyDescent="0.25">
      <c r="A179" s="104">
        <v>10</v>
      </c>
      <c r="B179" s="104" t="s">
        <v>305</v>
      </c>
      <c r="C179" s="104">
        <v>3</v>
      </c>
      <c r="D179" s="104">
        <v>1237</v>
      </c>
      <c r="E179" s="104">
        <v>367</v>
      </c>
      <c r="F179" s="104">
        <v>60</v>
      </c>
      <c r="G179" s="104">
        <v>56</v>
      </c>
      <c r="H179" s="104">
        <v>56</v>
      </c>
      <c r="I179" s="104">
        <v>127</v>
      </c>
      <c r="J179" s="104">
        <v>492</v>
      </c>
      <c r="K179" s="104">
        <v>0</v>
      </c>
      <c r="L179" s="104">
        <v>0</v>
      </c>
      <c r="M179" s="104">
        <v>0</v>
      </c>
      <c r="N179" s="104">
        <v>0</v>
      </c>
      <c r="O179" s="104">
        <v>0</v>
      </c>
      <c r="P179" s="104">
        <v>68</v>
      </c>
      <c r="Q179" s="104">
        <v>68</v>
      </c>
      <c r="R179" s="104">
        <v>178</v>
      </c>
      <c r="S179" s="104">
        <v>535</v>
      </c>
      <c r="T179" s="104"/>
      <c r="U179" s="104"/>
      <c r="V179" s="104"/>
      <c r="W179" s="104"/>
      <c r="X179" s="104">
        <v>0</v>
      </c>
      <c r="Y179" s="104">
        <v>0</v>
      </c>
      <c r="Z179" s="104">
        <v>0</v>
      </c>
      <c r="AA179" s="104">
        <v>0</v>
      </c>
      <c r="AB179" s="104"/>
      <c r="AC179" s="104"/>
      <c r="AD179" s="104"/>
      <c r="AE179" s="104"/>
      <c r="AF179" s="104">
        <v>0</v>
      </c>
      <c r="AG179" s="104">
        <v>0</v>
      </c>
      <c r="AH179" s="104">
        <v>0</v>
      </c>
      <c r="AI179" s="104">
        <v>0</v>
      </c>
      <c r="AJ179" s="104">
        <v>1035</v>
      </c>
      <c r="AK179" s="109">
        <v>83.670169765561837</v>
      </c>
      <c r="AL179" s="104">
        <v>297</v>
      </c>
      <c r="AM179" s="109">
        <v>80.926430517711168</v>
      </c>
    </row>
    <row r="180" spans="1:40" x14ac:dyDescent="0.25">
      <c r="A180" s="104">
        <v>11</v>
      </c>
      <c r="B180" s="104" t="s">
        <v>304</v>
      </c>
      <c r="C180" s="104">
        <v>3</v>
      </c>
      <c r="D180" s="104">
        <v>2278</v>
      </c>
      <c r="E180" s="104">
        <v>597</v>
      </c>
      <c r="F180" s="104">
        <v>33</v>
      </c>
      <c r="G180" s="104">
        <v>29</v>
      </c>
      <c r="H180" s="104">
        <v>29</v>
      </c>
      <c r="I180" s="104">
        <v>119</v>
      </c>
      <c r="J180" s="104">
        <v>406</v>
      </c>
      <c r="K180" s="104">
        <v>0</v>
      </c>
      <c r="L180" s="104">
        <v>0</v>
      </c>
      <c r="M180" s="104">
        <v>0</v>
      </c>
      <c r="N180" s="104">
        <v>0</v>
      </c>
      <c r="O180" s="104">
        <v>0</v>
      </c>
      <c r="P180" s="104">
        <v>134</v>
      </c>
      <c r="Q180" s="104">
        <v>134</v>
      </c>
      <c r="R180" s="104">
        <v>316</v>
      </c>
      <c r="S180" s="104">
        <v>1376</v>
      </c>
      <c r="T180" s="104"/>
      <c r="U180" s="104"/>
      <c r="V180" s="104"/>
      <c r="W180" s="104"/>
      <c r="X180" s="104">
        <v>0</v>
      </c>
      <c r="Y180" s="104">
        <v>0</v>
      </c>
      <c r="Z180" s="104">
        <v>0</v>
      </c>
      <c r="AA180" s="104">
        <v>0</v>
      </c>
      <c r="AB180" s="104"/>
      <c r="AC180" s="104"/>
      <c r="AD180" s="104"/>
      <c r="AE180" s="104"/>
      <c r="AF180" s="104">
        <v>0</v>
      </c>
      <c r="AG180" s="104">
        <v>0</v>
      </c>
      <c r="AH180" s="104">
        <v>0</v>
      </c>
      <c r="AI180" s="104">
        <v>0</v>
      </c>
      <c r="AJ180" s="104">
        <v>1782</v>
      </c>
      <c r="AK180" s="109">
        <v>78.226514486391579</v>
      </c>
      <c r="AL180" s="104">
        <v>435</v>
      </c>
      <c r="AM180" s="109">
        <v>72.8643216080402</v>
      </c>
    </row>
    <row r="181" spans="1:40" x14ac:dyDescent="0.25">
      <c r="A181" s="104">
        <v>12</v>
      </c>
      <c r="B181" s="104" t="s">
        <v>303</v>
      </c>
      <c r="C181" s="104">
        <v>2</v>
      </c>
      <c r="D181" s="104">
        <v>1228</v>
      </c>
      <c r="E181" s="104">
        <v>305</v>
      </c>
      <c r="F181" s="104">
        <v>22</v>
      </c>
      <c r="G181" s="104">
        <v>19</v>
      </c>
      <c r="H181" s="104">
        <v>19</v>
      </c>
      <c r="I181" s="104">
        <v>75</v>
      </c>
      <c r="J181" s="104">
        <v>195</v>
      </c>
      <c r="K181" s="104">
        <v>0</v>
      </c>
      <c r="L181" s="104">
        <v>0</v>
      </c>
      <c r="M181" s="104">
        <v>0</v>
      </c>
      <c r="N181" s="104">
        <v>0</v>
      </c>
      <c r="O181" s="104">
        <v>0</v>
      </c>
      <c r="P181" s="104">
        <v>105</v>
      </c>
      <c r="Q181" s="104">
        <v>105</v>
      </c>
      <c r="R181" s="104">
        <v>185</v>
      </c>
      <c r="S181" s="104">
        <v>935</v>
      </c>
      <c r="T181" s="104"/>
      <c r="U181" s="104"/>
      <c r="V181" s="104"/>
      <c r="W181" s="104"/>
      <c r="X181" s="104">
        <v>0</v>
      </c>
      <c r="Y181" s="104">
        <v>0</v>
      </c>
      <c r="Z181" s="104">
        <v>0</v>
      </c>
      <c r="AA181" s="104">
        <v>0</v>
      </c>
      <c r="AB181" s="104"/>
      <c r="AC181" s="104"/>
      <c r="AD181" s="104"/>
      <c r="AE181" s="104"/>
      <c r="AF181" s="104">
        <v>0</v>
      </c>
      <c r="AG181" s="104">
        <v>0</v>
      </c>
      <c r="AH181" s="104">
        <v>0</v>
      </c>
      <c r="AI181" s="104">
        <v>0</v>
      </c>
      <c r="AJ181" s="104">
        <v>1142</v>
      </c>
      <c r="AK181" s="109">
        <v>92.99674267100977</v>
      </c>
      <c r="AL181" s="104">
        <v>295</v>
      </c>
      <c r="AM181" s="109">
        <v>96.721311475409834</v>
      </c>
    </row>
    <row r="182" spans="1:40" x14ac:dyDescent="0.25">
      <c r="A182" s="104">
        <v>13</v>
      </c>
      <c r="B182" s="104" t="s">
        <v>302</v>
      </c>
      <c r="C182" s="104">
        <v>4</v>
      </c>
      <c r="D182" s="104">
        <v>2381</v>
      </c>
      <c r="E182" s="104">
        <v>627</v>
      </c>
      <c r="F182" s="104">
        <v>57</v>
      </c>
      <c r="G182" s="104">
        <v>51</v>
      </c>
      <c r="H182" s="104">
        <v>51</v>
      </c>
      <c r="I182" s="104">
        <v>97</v>
      </c>
      <c r="J182" s="104">
        <v>295</v>
      </c>
      <c r="K182" s="104">
        <v>0</v>
      </c>
      <c r="L182" s="104">
        <v>0</v>
      </c>
      <c r="M182" s="104">
        <v>0</v>
      </c>
      <c r="N182" s="104">
        <v>0</v>
      </c>
      <c r="O182" s="104">
        <v>0</v>
      </c>
      <c r="P182" s="104">
        <v>128</v>
      </c>
      <c r="Q182" s="104">
        <v>128</v>
      </c>
      <c r="R182" s="104">
        <v>247</v>
      </c>
      <c r="S182" s="104">
        <v>946</v>
      </c>
      <c r="T182" s="104"/>
      <c r="U182" s="104"/>
      <c r="V182" s="104"/>
      <c r="W182" s="104"/>
      <c r="X182" s="104">
        <v>0</v>
      </c>
      <c r="Y182" s="104">
        <v>0</v>
      </c>
      <c r="Z182" s="104">
        <v>0</v>
      </c>
      <c r="AA182" s="104">
        <v>0</v>
      </c>
      <c r="AB182" s="104"/>
      <c r="AC182" s="104"/>
      <c r="AD182" s="104"/>
      <c r="AE182" s="104"/>
      <c r="AF182" s="104">
        <v>95</v>
      </c>
      <c r="AG182" s="104">
        <v>95</v>
      </c>
      <c r="AH182" s="104">
        <v>137</v>
      </c>
      <c r="AI182" s="104">
        <v>744</v>
      </c>
      <c r="AJ182" s="104">
        <v>1985</v>
      </c>
      <c r="AK182" s="109">
        <v>83.368332633347336</v>
      </c>
      <c r="AL182" s="104">
        <v>584</v>
      </c>
      <c r="AM182" s="109">
        <v>93.141945773524725</v>
      </c>
    </row>
    <row r="183" spans="1:40" x14ac:dyDescent="0.25">
      <c r="A183" s="104">
        <v>14</v>
      </c>
      <c r="B183" s="104" t="s">
        <v>301</v>
      </c>
      <c r="C183" s="104">
        <v>4</v>
      </c>
      <c r="D183" s="104">
        <v>2785</v>
      </c>
      <c r="E183" s="104">
        <v>767</v>
      </c>
      <c r="F183" s="104">
        <v>72</v>
      </c>
      <c r="G183" s="104">
        <v>67</v>
      </c>
      <c r="H183" s="104">
        <v>67</v>
      </c>
      <c r="I183" s="104">
        <v>164</v>
      </c>
      <c r="J183" s="104">
        <v>672</v>
      </c>
      <c r="K183" s="104">
        <v>0</v>
      </c>
      <c r="L183" s="104">
        <v>0</v>
      </c>
      <c r="M183" s="104">
        <v>0</v>
      </c>
      <c r="N183" s="104">
        <v>0</v>
      </c>
      <c r="O183" s="104">
        <v>0</v>
      </c>
      <c r="P183" s="104">
        <v>187</v>
      </c>
      <c r="Q183" s="104">
        <v>187</v>
      </c>
      <c r="R183" s="104">
        <v>384</v>
      </c>
      <c r="S183" s="104">
        <v>1712</v>
      </c>
      <c r="T183" s="104"/>
      <c r="U183" s="104"/>
      <c r="V183" s="104"/>
      <c r="W183" s="104"/>
      <c r="X183" s="104">
        <v>0</v>
      </c>
      <c r="Y183" s="104">
        <v>0</v>
      </c>
      <c r="Z183" s="104">
        <v>0</v>
      </c>
      <c r="AA183" s="104">
        <v>0</v>
      </c>
      <c r="AB183" s="104"/>
      <c r="AC183" s="104"/>
      <c r="AD183" s="104"/>
      <c r="AE183" s="104"/>
      <c r="AF183" s="104">
        <v>0</v>
      </c>
      <c r="AG183" s="104">
        <v>0</v>
      </c>
      <c r="AH183" s="104">
        <v>0</v>
      </c>
      <c r="AI183" s="104">
        <v>0</v>
      </c>
      <c r="AJ183" s="104">
        <v>2384</v>
      </c>
      <c r="AK183" s="109">
        <v>85.601436265709154</v>
      </c>
      <c r="AL183" s="104">
        <v>576</v>
      </c>
      <c r="AM183" s="109">
        <v>75.097783572359845</v>
      </c>
    </row>
    <row r="184" spans="1:40" x14ac:dyDescent="0.25">
      <c r="A184" s="113"/>
      <c r="B184" s="113" t="s">
        <v>300</v>
      </c>
      <c r="C184" s="113"/>
      <c r="D184" s="148">
        <f t="shared" ref="D184:AJ184" si="44">SUM(D170:D183)</f>
        <v>36969</v>
      </c>
      <c r="E184" s="148">
        <f t="shared" si="44"/>
        <v>10041</v>
      </c>
      <c r="F184" s="148">
        <f t="shared" si="44"/>
        <v>484</v>
      </c>
      <c r="G184" s="148">
        <f t="shared" si="44"/>
        <v>430</v>
      </c>
      <c r="H184" s="148">
        <f t="shared" si="44"/>
        <v>430</v>
      </c>
      <c r="I184" s="148">
        <f t="shared" si="44"/>
        <v>1131</v>
      </c>
      <c r="J184" s="148">
        <f t="shared" si="44"/>
        <v>4432</v>
      </c>
      <c r="K184" s="148">
        <f t="shared" si="44"/>
        <v>0</v>
      </c>
      <c r="L184" s="148">
        <f t="shared" si="44"/>
        <v>0</v>
      </c>
      <c r="M184" s="148">
        <f t="shared" si="44"/>
        <v>0</v>
      </c>
      <c r="N184" s="148">
        <f t="shared" si="44"/>
        <v>0</v>
      </c>
      <c r="O184" s="148">
        <f t="shared" si="44"/>
        <v>0</v>
      </c>
      <c r="P184" s="148">
        <f t="shared" si="44"/>
        <v>3531</v>
      </c>
      <c r="Q184" s="148">
        <f t="shared" si="44"/>
        <v>3531</v>
      </c>
      <c r="R184" s="148">
        <f t="shared" si="44"/>
        <v>5944</v>
      </c>
      <c r="S184" s="148">
        <f t="shared" si="44"/>
        <v>23821</v>
      </c>
      <c r="T184" s="148">
        <f t="shared" si="44"/>
        <v>0</v>
      </c>
      <c r="U184" s="148">
        <f t="shared" si="44"/>
        <v>0</v>
      </c>
      <c r="V184" s="148">
        <f t="shared" si="44"/>
        <v>0</v>
      </c>
      <c r="W184" s="148">
        <f t="shared" si="44"/>
        <v>0</v>
      </c>
      <c r="X184" s="148">
        <f t="shared" si="44"/>
        <v>0</v>
      </c>
      <c r="Y184" s="148">
        <f t="shared" si="44"/>
        <v>0</v>
      </c>
      <c r="Z184" s="148">
        <f t="shared" si="44"/>
        <v>0</v>
      </c>
      <c r="AA184" s="148">
        <f t="shared" si="44"/>
        <v>0</v>
      </c>
      <c r="AB184" s="148">
        <f t="shared" si="44"/>
        <v>0</v>
      </c>
      <c r="AC184" s="148">
        <f t="shared" si="44"/>
        <v>0</v>
      </c>
      <c r="AD184" s="148">
        <f t="shared" si="44"/>
        <v>0</v>
      </c>
      <c r="AE184" s="148">
        <f t="shared" si="44"/>
        <v>0</v>
      </c>
      <c r="AF184" s="148">
        <f t="shared" si="44"/>
        <v>423</v>
      </c>
      <c r="AG184" s="148">
        <f t="shared" si="44"/>
        <v>423</v>
      </c>
      <c r="AH184" s="148">
        <f t="shared" si="44"/>
        <v>735</v>
      </c>
      <c r="AI184" s="148">
        <f t="shared" si="44"/>
        <v>3007</v>
      </c>
      <c r="AJ184" s="148">
        <f t="shared" si="44"/>
        <v>31656</v>
      </c>
      <c r="AK184" s="106">
        <f t="shared" ref="AK184:AK192" si="45">AJ184/D184*100</f>
        <v>85.628499553680115</v>
      </c>
      <c r="AL184" s="148">
        <f>SUM(AL170:AL183)</f>
        <v>8334</v>
      </c>
      <c r="AM184" s="106">
        <f t="shared" ref="AM184:AM192" si="46">AL184/E184*100</f>
        <v>82.999701224977599</v>
      </c>
      <c r="AN184" s="99">
        <v>75.36</v>
      </c>
    </row>
    <row r="185" spans="1:40" x14ac:dyDescent="0.25">
      <c r="A185" s="120">
        <v>1</v>
      </c>
      <c r="B185" s="120" t="s">
        <v>299</v>
      </c>
      <c r="C185" s="120"/>
      <c r="D185" s="149">
        <v>1231</v>
      </c>
      <c r="E185" s="149">
        <v>300</v>
      </c>
      <c r="F185" s="149">
        <v>0</v>
      </c>
      <c r="G185" s="149">
        <v>0</v>
      </c>
      <c r="H185" s="149">
        <v>0</v>
      </c>
      <c r="I185" s="149">
        <v>0</v>
      </c>
      <c r="J185" s="149">
        <v>0</v>
      </c>
      <c r="K185" s="149"/>
      <c r="L185" s="149"/>
      <c r="M185" s="149"/>
      <c r="N185" s="149"/>
      <c r="O185" s="149"/>
      <c r="P185" s="149">
        <v>0</v>
      </c>
      <c r="Q185" s="149">
        <v>0</v>
      </c>
      <c r="R185" s="149">
        <v>0</v>
      </c>
      <c r="S185" s="149">
        <v>0</v>
      </c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>
        <v>270</v>
      </c>
      <c r="AG185" s="149">
        <v>270</v>
      </c>
      <c r="AH185" s="149">
        <v>270</v>
      </c>
      <c r="AI185" s="149">
        <v>1085</v>
      </c>
      <c r="AJ185" s="149">
        <f t="shared" ref="AJ185:AJ191" si="47">AI185+AE185+AA185+W185+S185+O185+J185</f>
        <v>1085</v>
      </c>
      <c r="AK185" s="108">
        <f t="shared" si="45"/>
        <v>88.139723801787156</v>
      </c>
      <c r="AL185" s="149">
        <f>AH185+AD185+Z185+V185+R185+N185+I185</f>
        <v>270</v>
      </c>
      <c r="AM185" s="108">
        <f t="shared" si="46"/>
        <v>90</v>
      </c>
    </row>
    <row r="186" spans="1:40" x14ac:dyDescent="0.25">
      <c r="A186" s="120">
        <v>2</v>
      </c>
      <c r="B186" s="120" t="s">
        <v>298</v>
      </c>
      <c r="C186" s="120"/>
      <c r="D186" s="149">
        <v>2782</v>
      </c>
      <c r="E186" s="149">
        <v>532</v>
      </c>
      <c r="F186" s="149">
        <v>112</v>
      </c>
      <c r="G186" s="149">
        <v>96</v>
      </c>
      <c r="H186" s="149">
        <v>96</v>
      </c>
      <c r="I186" s="149">
        <v>231</v>
      </c>
      <c r="J186" s="149">
        <v>1155</v>
      </c>
      <c r="K186" s="149"/>
      <c r="L186" s="149"/>
      <c r="M186" s="149"/>
      <c r="N186" s="149"/>
      <c r="O186" s="149"/>
      <c r="P186" s="149">
        <v>66</v>
      </c>
      <c r="Q186" s="149">
        <v>66</v>
      </c>
      <c r="R186" s="149">
        <v>130</v>
      </c>
      <c r="S186" s="149">
        <v>647</v>
      </c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>
        <v>120</v>
      </c>
      <c r="AG186" s="149">
        <v>120</v>
      </c>
      <c r="AH186" s="149">
        <v>120</v>
      </c>
      <c r="AI186" s="149">
        <v>525</v>
      </c>
      <c r="AJ186" s="149">
        <f t="shared" si="47"/>
        <v>2327</v>
      </c>
      <c r="AK186" s="108">
        <f t="shared" si="45"/>
        <v>83.644859813084111</v>
      </c>
      <c r="AL186" s="149">
        <f>AH186+AD186+Z186+V186+R186+N186+I186</f>
        <v>481</v>
      </c>
      <c r="AM186" s="108">
        <f t="shared" si="46"/>
        <v>90.413533834586474</v>
      </c>
    </row>
    <row r="187" spans="1:40" x14ac:dyDescent="0.25">
      <c r="A187" s="120">
        <v>3</v>
      </c>
      <c r="B187" s="120" t="s">
        <v>297</v>
      </c>
      <c r="C187" s="120"/>
      <c r="D187" s="149">
        <v>1924</v>
      </c>
      <c r="E187" s="149">
        <v>367</v>
      </c>
      <c r="F187" s="149">
        <v>72</v>
      </c>
      <c r="G187" s="149">
        <v>62</v>
      </c>
      <c r="H187" s="149">
        <v>62</v>
      </c>
      <c r="I187" s="149">
        <v>187</v>
      </c>
      <c r="J187" s="149">
        <v>935</v>
      </c>
      <c r="K187" s="149"/>
      <c r="L187" s="149"/>
      <c r="M187" s="149"/>
      <c r="N187" s="149"/>
      <c r="O187" s="149"/>
      <c r="P187" s="149">
        <v>35</v>
      </c>
      <c r="Q187" s="149">
        <v>35</v>
      </c>
      <c r="R187" s="149">
        <v>69</v>
      </c>
      <c r="S187" s="149">
        <v>207</v>
      </c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>
        <v>105</v>
      </c>
      <c r="AG187" s="149">
        <v>105</v>
      </c>
      <c r="AH187" s="149">
        <v>105</v>
      </c>
      <c r="AI187" s="149">
        <v>760</v>
      </c>
      <c r="AJ187" s="149">
        <f t="shared" si="47"/>
        <v>1902</v>
      </c>
      <c r="AK187" s="108">
        <f t="shared" si="45"/>
        <v>98.856548856548855</v>
      </c>
      <c r="AL187" s="149">
        <f>AH187+AD187+Z187+V187+R187+N187+I187</f>
        <v>361</v>
      </c>
      <c r="AM187" s="108">
        <f t="shared" si="46"/>
        <v>98.365122615803813</v>
      </c>
    </row>
    <row r="188" spans="1:40" x14ac:dyDescent="0.25">
      <c r="A188" s="120">
        <v>4</v>
      </c>
      <c r="B188" s="120" t="s">
        <v>296</v>
      </c>
      <c r="C188" s="120"/>
      <c r="D188" s="149">
        <v>653</v>
      </c>
      <c r="E188" s="149">
        <v>170</v>
      </c>
      <c r="F188" s="149">
        <v>14</v>
      </c>
      <c r="G188" s="149">
        <v>10</v>
      </c>
      <c r="H188" s="149">
        <v>10</v>
      </c>
      <c r="I188" s="149">
        <v>20</v>
      </c>
      <c r="J188" s="149">
        <v>100</v>
      </c>
      <c r="K188" s="149"/>
      <c r="L188" s="149"/>
      <c r="M188" s="149"/>
      <c r="N188" s="149"/>
      <c r="O188" s="149"/>
      <c r="P188" s="149">
        <v>6</v>
      </c>
      <c r="Q188" s="149">
        <v>6</v>
      </c>
      <c r="R188" s="149">
        <v>6</v>
      </c>
      <c r="S188" s="149">
        <v>30</v>
      </c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>
        <v>155</v>
      </c>
      <c r="AG188" s="149">
        <v>155</v>
      </c>
      <c r="AH188" s="149">
        <v>155</v>
      </c>
      <c r="AI188" s="149">
        <v>510</v>
      </c>
      <c r="AJ188" s="149">
        <f t="shared" si="47"/>
        <v>640</v>
      </c>
      <c r="AK188" s="108">
        <f t="shared" si="45"/>
        <v>98.009188361408889</v>
      </c>
      <c r="AL188" s="149">
        <v>170</v>
      </c>
      <c r="AM188" s="108">
        <f t="shared" si="46"/>
        <v>100</v>
      </c>
    </row>
    <row r="189" spans="1:40" x14ac:dyDescent="0.25">
      <c r="A189" s="120">
        <v>5</v>
      </c>
      <c r="B189" s="120" t="s">
        <v>295</v>
      </c>
      <c r="C189" s="120"/>
      <c r="D189" s="149">
        <v>1480</v>
      </c>
      <c r="E189" s="149">
        <v>372</v>
      </c>
      <c r="F189" s="149">
        <v>25</v>
      </c>
      <c r="G189" s="149">
        <v>20</v>
      </c>
      <c r="H189" s="149">
        <v>20</v>
      </c>
      <c r="I189" s="149">
        <v>20</v>
      </c>
      <c r="J189" s="149">
        <v>80</v>
      </c>
      <c r="K189" s="149">
        <v>1</v>
      </c>
      <c r="L189" s="149">
        <v>1</v>
      </c>
      <c r="M189" s="149">
        <v>1</v>
      </c>
      <c r="N189" s="149">
        <v>1</v>
      </c>
      <c r="O189" s="149">
        <v>4</v>
      </c>
      <c r="P189" s="149">
        <v>0</v>
      </c>
      <c r="Q189" s="149">
        <v>0</v>
      </c>
      <c r="R189" s="149">
        <v>0</v>
      </c>
      <c r="S189" s="149">
        <v>0</v>
      </c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>
        <v>348</v>
      </c>
      <c r="AG189" s="149">
        <v>348</v>
      </c>
      <c r="AH189" s="149">
        <v>348</v>
      </c>
      <c r="AI189" s="149">
        <v>1480</v>
      </c>
      <c r="AJ189" s="149">
        <f t="shared" si="47"/>
        <v>1564</v>
      </c>
      <c r="AK189" s="108">
        <f t="shared" si="45"/>
        <v>105.67567567567568</v>
      </c>
      <c r="AL189" s="149">
        <f>AH189+AD189+Z189+V189+R189+N189+I189</f>
        <v>369</v>
      </c>
      <c r="AM189" s="108">
        <f t="shared" si="46"/>
        <v>99.193548387096769</v>
      </c>
    </row>
    <row r="190" spans="1:40" x14ac:dyDescent="0.25">
      <c r="A190" s="120">
        <v>6</v>
      </c>
      <c r="B190" s="120" t="s">
        <v>294</v>
      </c>
      <c r="C190" s="120"/>
      <c r="D190" s="149">
        <v>1905</v>
      </c>
      <c r="E190" s="149">
        <v>688</v>
      </c>
      <c r="F190" s="149">
        <v>30</v>
      </c>
      <c r="G190" s="149">
        <v>26</v>
      </c>
      <c r="H190" s="149">
        <v>26</v>
      </c>
      <c r="I190" s="149">
        <v>30</v>
      </c>
      <c r="J190" s="149">
        <v>150</v>
      </c>
      <c r="K190" s="149"/>
      <c r="L190" s="149"/>
      <c r="M190" s="149"/>
      <c r="N190" s="149"/>
      <c r="O190" s="149"/>
      <c r="P190" s="149">
        <v>0</v>
      </c>
      <c r="Q190" s="149">
        <v>0</v>
      </c>
      <c r="R190" s="149">
        <v>0</v>
      </c>
      <c r="S190" s="149">
        <v>0</v>
      </c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>
        <v>658</v>
      </c>
      <c r="AG190" s="149">
        <v>658</v>
      </c>
      <c r="AH190" s="149">
        <v>658</v>
      </c>
      <c r="AI190" s="149">
        <v>1755</v>
      </c>
      <c r="AJ190" s="149">
        <f t="shared" si="47"/>
        <v>1905</v>
      </c>
      <c r="AK190" s="108">
        <f t="shared" si="45"/>
        <v>100</v>
      </c>
      <c r="AL190" s="149">
        <f>AH190+AD190+Z190+V190+R190+N190+I190</f>
        <v>688</v>
      </c>
      <c r="AM190" s="108">
        <f t="shared" si="46"/>
        <v>100</v>
      </c>
    </row>
    <row r="191" spans="1:40" x14ac:dyDescent="0.25">
      <c r="A191" s="120">
        <v>7</v>
      </c>
      <c r="B191" s="120" t="s">
        <v>293</v>
      </c>
      <c r="C191" s="120"/>
      <c r="D191" s="149">
        <v>492</v>
      </c>
      <c r="E191" s="149">
        <v>172</v>
      </c>
      <c r="F191" s="149">
        <v>0</v>
      </c>
      <c r="G191" s="149">
        <v>0</v>
      </c>
      <c r="H191" s="149">
        <v>0</v>
      </c>
      <c r="I191" s="149">
        <v>0</v>
      </c>
      <c r="J191" s="149">
        <v>0</v>
      </c>
      <c r="K191" s="149"/>
      <c r="L191" s="149"/>
      <c r="M191" s="149"/>
      <c r="N191" s="149"/>
      <c r="O191" s="149"/>
      <c r="P191" s="149">
        <v>0</v>
      </c>
      <c r="Q191" s="149">
        <v>0</v>
      </c>
      <c r="R191" s="149">
        <v>0</v>
      </c>
      <c r="S191" s="149">
        <v>0</v>
      </c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>
        <v>165</v>
      </c>
      <c r="AG191" s="149">
        <v>165</v>
      </c>
      <c r="AH191" s="149">
        <v>165</v>
      </c>
      <c r="AI191" s="149">
        <v>485</v>
      </c>
      <c r="AJ191" s="149">
        <f t="shared" si="47"/>
        <v>485</v>
      </c>
      <c r="AK191" s="108">
        <f t="shared" si="45"/>
        <v>98.577235772357724</v>
      </c>
      <c r="AL191" s="149">
        <f>AH191+AD191+Z191+V191+R191+N191+I191</f>
        <v>165</v>
      </c>
      <c r="AM191" s="108">
        <f t="shared" si="46"/>
        <v>95.930232558139537</v>
      </c>
    </row>
    <row r="192" spans="1:40" x14ac:dyDescent="0.25">
      <c r="A192" s="113"/>
      <c r="B192" s="113" t="s">
        <v>292</v>
      </c>
      <c r="C192" s="113"/>
      <c r="D192" s="148">
        <f t="shared" ref="D192:AJ192" si="48">SUM(D185:D191)</f>
        <v>10467</v>
      </c>
      <c r="E192" s="148">
        <f t="shared" si="48"/>
        <v>2601</v>
      </c>
      <c r="F192" s="148">
        <f t="shared" si="48"/>
        <v>253</v>
      </c>
      <c r="G192" s="148">
        <f t="shared" si="48"/>
        <v>214</v>
      </c>
      <c r="H192" s="148">
        <f t="shared" si="48"/>
        <v>214</v>
      </c>
      <c r="I192" s="148">
        <f t="shared" si="48"/>
        <v>488</v>
      </c>
      <c r="J192" s="148">
        <f t="shared" si="48"/>
        <v>2420</v>
      </c>
      <c r="K192" s="148">
        <f t="shared" si="48"/>
        <v>1</v>
      </c>
      <c r="L192" s="148">
        <f t="shared" si="48"/>
        <v>1</v>
      </c>
      <c r="M192" s="148">
        <f t="shared" si="48"/>
        <v>1</v>
      </c>
      <c r="N192" s="148">
        <f t="shared" si="48"/>
        <v>1</v>
      </c>
      <c r="O192" s="148">
        <f t="shared" si="48"/>
        <v>4</v>
      </c>
      <c r="P192" s="148">
        <f t="shared" si="48"/>
        <v>107</v>
      </c>
      <c r="Q192" s="148">
        <f t="shared" si="48"/>
        <v>107</v>
      </c>
      <c r="R192" s="148">
        <f t="shared" si="48"/>
        <v>205</v>
      </c>
      <c r="S192" s="148">
        <f t="shared" si="48"/>
        <v>884</v>
      </c>
      <c r="T192" s="148">
        <f t="shared" si="48"/>
        <v>0</v>
      </c>
      <c r="U192" s="148">
        <f t="shared" si="48"/>
        <v>0</v>
      </c>
      <c r="V192" s="148">
        <f t="shared" si="48"/>
        <v>0</v>
      </c>
      <c r="W192" s="148">
        <f t="shared" si="48"/>
        <v>0</v>
      </c>
      <c r="X192" s="148">
        <f t="shared" si="48"/>
        <v>0</v>
      </c>
      <c r="Y192" s="148">
        <f t="shared" si="48"/>
        <v>0</v>
      </c>
      <c r="Z192" s="148">
        <f t="shared" si="48"/>
        <v>0</v>
      </c>
      <c r="AA192" s="148">
        <f t="shared" si="48"/>
        <v>0</v>
      </c>
      <c r="AB192" s="148">
        <f t="shared" si="48"/>
        <v>0</v>
      </c>
      <c r="AC192" s="148">
        <f t="shared" si="48"/>
        <v>0</v>
      </c>
      <c r="AD192" s="148">
        <f t="shared" si="48"/>
        <v>0</v>
      </c>
      <c r="AE192" s="148">
        <f t="shared" si="48"/>
        <v>0</v>
      </c>
      <c r="AF192" s="148">
        <f t="shared" si="48"/>
        <v>1821</v>
      </c>
      <c r="AG192" s="148">
        <f t="shared" si="48"/>
        <v>1821</v>
      </c>
      <c r="AH192" s="148">
        <f t="shared" si="48"/>
        <v>1821</v>
      </c>
      <c r="AI192" s="148">
        <f t="shared" si="48"/>
        <v>6600</v>
      </c>
      <c r="AJ192" s="148">
        <f t="shared" si="48"/>
        <v>9908</v>
      </c>
      <c r="AK192" s="106">
        <f t="shared" si="45"/>
        <v>94.659405751409182</v>
      </c>
      <c r="AL192" s="148">
        <f>SUM(AL185:AL191)</f>
        <v>2504</v>
      </c>
      <c r="AM192" s="106">
        <f t="shared" si="46"/>
        <v>96.270665128796622</v>
      </c>
      <c r="AN192" s="99">
        <v>88.87</v>
      </c>
    </row>
    <row r="193" spans="1:40" x14ac:dyDescent="0.25">
      <c r="A193" s="120">
        <v>1</v>
      </c>
      <c r="B193" s="138" t="s">
        <v>291</v>
      </c>
      <c r="C193" s="138">
        <v>6</v>
      </c>
      <c r="D193" s="139">
        <v>4474</v>
      </c>
      <c r="E193" s="140">
        <v>1188</v>
      </c>
      <c r="F193" s="139">
        <v>62</v>
      </c>
      <c r="G193" s="139">
        <v>38</v>
      </c>
      <c r="H193" s="139">
        <v>38</v>
      </c>
      <c r="I193" s="139">
        <v>119</v>
      </c>
      <c r="J193" s="139">
        <v>409</v>
      </c>
      <c r="K193" s="139"/>
      <c r="L193" s="139"/>
      <c r="M193" s="139"/>
      <c r="N193" s="139"/>
      <c r="O193" s="139"/>
      <c r="P193" s="147">
        <v>789</v>
      </c>
      <c r="Q193" s="139">
        <v>684</v>
      </c>
      <c r="R193" s="146">
        <v>1046</v>
      </c>
      <c r="S193" s="146">
        <v>3712</v>
      </c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44"/>
      <c r="AG193" s="144"/>
      <c r="AH193" s="144"/>
      <c r="AI193" s="144"/>
      <c r="AJ193" s="142">
        <v>4121</v>
      </c>
      <c r="AK193" s="143">
        <v>98.82</v>
      </c>
      <c r="AL193" s="142">
        <v>1165</v>
      </c>
      <c r="AM193" s="141">
        <v>98.06</v>
      </c>
    </row>
    <row r="194" spans="1:40" x14ac:dyDescent="0.25">
      <c r="A194" s="120">
        <v>2</v>
      </c>
      <c r="B194" s="138" t="s">
        <v>290</v>
      </c>
      <c r="C194" s="138">
        <v>4</v>
      </c>
      <c r="D194" s="139">
        <v>3405</v>
      </c>
      <c r="E194" s="140">
        <v>1003</v>
      </c>
      <c r="F194" s="139">
        <v>45</v>
      </c>
      <c r="G194" s="139">
        <v>28</v>
      </c>
      <c r="H194" s="139">
        <v>28</v>
      </c>
      <c r="I194" s="139">
        <v>76</v>
      </c>
      <c r="J194" s="139">
        <v>382</v>
      </c>
      <c r="K194" s="139"/>
      <c r="L194" s="139"/>
      <c r="M194" s="139"/>
      <c r="N194" s="139"/>
      <c r="O194" s="139"/>
      <c r="P194" s="138">
        <v>663</v>
      </c>
      <c r="Q194" s="139">
        <v>432</v>
      </c>
      <c r="R194" s="146">
        <v>916</v>
      </c>
      <c r="S194" s="146">
        <v>2056</v>
      </c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44"/>
      <c r="AG194" s="144"/>
      <c r="AH194" s="144"/>
      <c r="AI194" s="144"/>
      <c r="AJ194" s="142">
        <v>3228</v>
      </c>
      <c r="AK194" s="143">
        <v>94.8</v>
      </c>
      <c r="AL194" s="142">
        <v>992</v>
      </c>
      <c r="AM194" s="141">
        <v>96.66</v>
      </c>
    </row>
    <row r="195" spans="1:40" x14ac:dyDescent="0.25">
      <c r="A195" s="120">
        <v>3</v>
      </c>
      <c r="B195" s="138" t="s">
        <v>289</v>
      </c>
      <c r="C195" s="138">
        <v>2</v>
      </c>
      <c r="D195" s="139">
        <v>2193</v>
      </c>
      <c r="E195" s="140">
        <v>474</v>
      </c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45"/>
      <c r="S195" s="145"/>
      <c r="T195" s="138"/>
      <c r="U195" s="138"/>
      <c r="V195" s="138"/>
      <c r="W195" s="138"/>
      <c r="X195" s="138">
        <v>1</v>
      </c>
      <c r="Y195" s="138"/>
      <c r="Z195" s="138"/>
      <c r="AA195" s="138"/>
      <c r="AB195" s="138"/>
      <c r="AC195" s="138"/>
      <c r="AD195" s="138"/>
      <c r="AE195" s="138"/>
      <c r="AF195" s="144">
        <v>438</v>
      </c>
      <c r="AG195" s="144">
        <v>425</v>
      </c>
      <c r="AH195" s="144">
        <v>448</v>
      </c>
      <c r="AI195" s="144">
        <v>2023</v>
      </c>
      <c r="AJ195" s="142">
        <v>2023</v>
      </c>
      <c r="AK195" s="143">
        <v>92.24</v>
      </c>
      <c r="AL195" s="142">
        <v>448</v>
      </c>
      <c r="AM195" s="141">
        <v>94.51</v>
      </c>
    </row>
    <row r="196" spans="1:40" x14ac:dyDescent="0.25">
      <c r="A196" s="120">
        <v>4</v>
      </c>
      <c r="B196" s="138" t="s">
        <v>288</v>
      </c>
      <c r="C196" s="138">
        <v>6</v>
      </c>
      <c r="D196" s="139">
        <v>2103</v>
      </c>
      <c r="E196" s="140">
        <v>624</v>
      </c>
      <c r="F196" s="139">
        <v>51</v>
      </c>
      <c r="G196" s="139">
        <v>34</v>
      </c>
      <c r="H196" s="139">
        <v>34</v>
      </c>
      <c r="I196" s="139">
        <v>112</v>
      </c>
      <c r="J196" s="139">
        <v>472</v>
      </c>
      <c r="K196" s="139"/>
      <c r="L196" s="139"/>
      <c r="M196" s="139"/>
      <c r="N196" s="139"/>
      <c r="O196" s="139"/>
      <c r="P196" s="139">
        <v>449</v>
      </c>
      <c r="Q196" s="139">
        <v>437</v>
      </c>
      <c r="R196" s="134">
        <v>456</v>
      </c>
      <c r="S196" s="134">
        <v>1532</v>
      </c>
      <c r="T196" s="138"/>
      <c r="U196" s="138"/>
      <c r="V196" s="138"/>
      <c r="W196" s="138"/>
      <c r="X196" s="138">
        <v>2</v>
      </c>
      <c r="Y196" s="138"/>
      <c r="Z196" s="138"/>
      <c r="AA196" s="138"/>
      <c r="AB196" s="138"/>
      <c r="AC196" s="138"/>
      <c r="AD196" s="138"/>
      <c r="AE196" s="138"/>
      <c r="AF196" s="130">
        <v>21</v>
      </c>
      <c r="AG196" s="130">
        <v>17</v>
      </c>
      <c r="AH196" s="130">
        <v>27</v>
      </c>
      <c r="AI196" s="130">
        <v>58</v>
      </c>
      <c r="AJ196" s="129">
        <v>2052</v>
      </c>
      <c r="AK196" s="128">
        <v>97.57</v>
      </c>
      <c r="AL196" s="127">
        <v>583</v>
      </c>
      <c r="AM196" s="126">
        <v>90.1</v>
      </c>
    </row>
    <row r="197" spans="1:40" x14ac:dyDescent="0.25">
      <c r="A197" s="120">
        <v>5</v>
      </c>
      <c r="B197" s="131" t="s">
        <v>287</v>
      </c>
      <c r="C197" s="131">
        <v>5</v>
      </c>
      <c r="D197" s="132">
        <v>2318</v>
      </c>
      <c r="E197" s="133">
        <v>587</v>
      </c>
      <c r="F197" s="132">
        <v>93</v>
      </c>
      <c r="G197" s="132">
        <v>65</v>
      </c>
      <c r="H197" s="132">
        <v>65</v>
      </c>
      <c r="I197" s="132">
        <v>279</v>
      </c>
      <c r="J197" s="132">
        <v>1385</v>
      </c>
      <c r="K197" s="132"/>
      <c r="L197" s="132"/>
      <c r="M197" s="132"/>
      <c r="N197" s="132"/>
      <c r="O197" s="132"/>
      <c r="P197" s="132">
        <v>253</v>
      </c>
      <c r="Q197" s="132">
        <v>245</v>
      </c>
      <c r="R197" s="130">
        <v>273</v>
      </c>
      <c r="S197" s="136">
        <v>736</v>
      </c>
      <c r="T197" s="131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37"/>
      <c r="AG197" s="137"/>
      <c r="AH197" s="136"/>
      <c r="AI197" s="136"/>
      <c r="AJ197" s="129">
        <v>2121</v>
      </c>
      <c r="AK197" s="128">
        <v>91.5</v>
      </c>
      <c r="AL197" s="127">
        <v>552</v>
      </c>
      <c r="AM197" s="126">
        <v>92.92</v>
      </c>
    </row>
    <row r="198" spans="1:40" x14ac:dyDescent="0.25">
      <c r="A198" s="120">
        <v>6</v>
      </c>
      <c r="B198" s="131" t="s">
        <v>286</v>
      </c>
      <c r="C198" s="131">
        <v>8</v>
      </c>
      <c r="D198" s="132">
        <v>3892</v>
      </c>
      <c r="E198" s="133">
        <v>815</v>
      </c>
      <c r="F198" s="132">
        <v>44</v>
      </c>
      <c r="G198" s="132">
        <v>23</v>
      </c>
      <c r="H198" s="132">
        <v>23</v>
      </c>
      <c r="I198" s="132">
        <v>121</v>
      </c>
      <c r="J198" s="132">
        <v>613</v>
      </c>
      <c r="K198" s="132"/>
      <c r="L198" s="132"/>
      <c r="M198" s="132"/>
      <c r="N198" s="132"/>
      <c r="O198" s="132"/>
      <c r="P198" s="132">
        <v>429</v>
      </c>
      <c r="Q198" s="132">
        <v>402</v>
      </c>
      <c r="R198" s="130">
        <v>473</v>
      </c>
      <c r="S198" s="134">
        <v>2620</v>
      </c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5"/>
      <c r="AG198" s="135"/>
      <c r="AH198" s="135"/>
      <c r="AI198" s="135"/>
      <c r="AJ198" s="129">
        <v>3233</v>
      </c>
      <c r="AK198" s="128">
        <v>83.06</v>
      </c>
      <c r="AL198" s="127">
        <v>829</v>
      </c>
      <c r="AM198" s="126">
        <v>90.4</v>
      </c>
    </row>
    <row r="199" spans="1:40" x14ac:dyDescent="0.25">
      <c r="A199" s="120">
        <v>7</v>
      </c>
      <c r="B199" s="131" t="s">
        <v>285</v>
      </c>
      <c r="C199" s="131">
        <v>3</v>
      </c>
      <c r="D199" s="132">
        <v>932</v>
      </c>
      <c r="E199" s="133">
        <v>228</v>
      </c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5"/>
      <c r="S199" s="135"/>
      <c r="T199" s="131"/>
      <c r="U199" s="131"/>
      <c r="V199" s="131"/>
      <c r="W199" s="131"/>
      <c r="X199" s="131">
        <v>3</v>
      </c>
      <c r="Y199" s="131"/>
      <c r="Z199" s="131"/>
      <c r="AA199" s="131"/>
      <c r="AB199" s="131"/>
      <c r="AC199" s="131"/>
      <c r="AD199" s="131"/>
      <c r="AE199" s="131"/>
      <c r="AF199" s="130">
        <v>153</v>
      </c>
      <c r="AG199" s="130">
        <v>132</v>
      </c>
      <c r="AH199" s="130">
        <v>178</v>
      </c>
      <c r="AI199" s="130">
        <v>712</v>
      </c>
      <c r="AJ199" s="129">
        <v>712</v>
      </c>
      <c r="AK199" s="128">
        <v>76.39</v>
      </c>
      <c r="AL199" s="127">
        <v>178</v>
      </c>
      <c r="AM199" s="126">
        <v>75.739999999999995</v>
      </c>
    </row>
    <row r="200" spans="1:40" x14ac:dyDescent="0.25">
      <c r="A200" s="120">
        <v>8</v>
      </c>
      <c r="B200" s="131" t="s">
        <v>284</v>
      </c>
      <c r="C200" s="131">
        <v>2</v>
      </c>
      <c r="D200" s="132">
        <v>910</v>
      </c>
      <c r="E200" s="133">
        <v>250</v>
      </c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0"/>
      <c r="S200" s="130"/>
      <c r="T200" s="131"/>
      <c r="U200" s="131"/>
      <c r="V200" s="131"/>
      <c r="W200" s="131"/>
      <c r="X200" s="131">
        <v>2</v>
      </c>
      <c r="Y200" s="131"/>
      <c r="Z200" s="131"/>
      <c r="AA200" s="131"/>
      <c r="AB200" s="131"/>
      <c r="AC200" s="131"/>
      <c r="AD200" s="131"/>
      <c r="AE200" s="131"/>
      <c r="AF200" s="130">
        <v>219</v>
      </c>
      <c r="AG200" s="130">
        <v>201</v>
      </c>
      <c r="AH200" s="130">
        <v>242</v>
      </c>
      <c r="AI200" s="130">
        <v>865</v>
      </c>
      <c r="AJ200" s="129">
        <v>865</v>
      </c>
      <c r="AK200" s="128">
        <v>95.05</v>
      </c>
      <c r="AL200" s="127">
        <v>242</v>
      </c>
      <c r="AM200" s="126">
        <v>96.8</v>
      </c>
    </row>
    <row r="201" spans="1:40" x14ac:dyDescent="0.25">
      <c r="A201" s="120">
        <v>9</v>
      </c>
      <c r="B201" s="131" t="s">
        <v>283</v>
      </c>
      <c r="C201" s="131">
        <v>3</v>
      </c>
      <c r="D201" s="132">
        <v>1828</v>
      </c>
      <c r="E201" s="133">
        <v>374</v>
      </c>
      <c r="F201" s="132">
        <v>17</v>
      </c>
      <c r="G201" s="132">
        <v>13</v>
      </c>
      <c r="H201" s="132">
        <v>13</v>
      </c>
      <c r="I201" s="132">
        <v>75</v>
      </c>
      <c r="J201" s="132">
        <v>406</v>
      </c>
      <c r="K201" s="132"/>
      <c r="L201" s="132"/>
      <c r="M201" s="132"/>
      <c r="N201" s="132"/>
      <c r="O201" s="132"/>
      <c r="P201" s="132">
        <v>184</v>
      </c>
      <c r="Q201" s="132">
        <v>249</v>
      </c>
      <c r="R201" s="130">
        <v>312</v>
      </c>
      <c r="S201" s="134">
        <v>1248</v>
      </c>
      <c r="T201" s="131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30"/>
      <c r="AG201" s="130"/>
      <c r="AH201" s="130"/>
      <c r="AI201" s="130"/>
      <c r="AJ201" s="129">
        <v>1654</v>
      </c>
      <c r="AK201" s="128">
        <v>90.05</v>
      </c>
      <c r="AL201" s="127">
        <v>387</v>
      </c>
      <c r="AM201" s="126">
        <v>87.55</v>
      </c>
    </row>
    <row r="202" spans="1:40" x14ac:dyDescent="0.25">
      <c r="A202" s="120">
        <v>10</v>
      </c>
      <c r="B202" s="131" t="s">
        <v>282</v>
      </c>
      <c r="C202" s="131">
        <v>2</v>
      </c>
      <c r="D202" s="132">
        <v>686</v>
      </c>
      <c r="E202" s="133">
        <v>160</v>
      </c>
      <c r="F202" s="132">
        <v>11</v>
      </c>
      <c r="G202" s="132">
        <v>9</v>
      </c>
      <c r="H202" s="132">
        <v>9</v>
      </c>
      <c r="I202" s="132">
        <v>60</v>
      </c>
      <c r="J202" s="132">
        <v>296</v>
      </c>
      <c r="K202" s="132"/>
      <c r="L202" s="132"/>
      <c r="M202" s="132"/>
      <c r="N202" s="132"/>
      <c r="O202" s="132"/>
      <c r="P202" s="132">
        <v>46</v>
      </c>
      <c r="Q202" s="132">
        <v>42</v>
      </c>
      <c r="R202" s="130">
        <v>63</v>
      </c>
      <c r="S202" s="130">
        <v>197</v>
      </c>
      <c r="T202" s="131"/>
      <c r="U202" s="131"/>
      <c r="V202" s="131"/>
      <c r="W202" s="131"/>
      <c r="X202" s="131">
        <v>2</v>
      </c>
      <c r="Y202" s="131"/>
      <c r="Z202" s="131"/>
      <c r="AA202" s="131"/>
      <c r="AB202" s="131"/>
      <c r="AC202" s="131"/>
      <c r="AD202" s="131"/>
      <c r="AE202" s="131"/>
      <c r="AF202" s="130">
        <v>2</v>
      </c>
      <c r="AG202" s="130">
        <v>1</v>
      </c>
      <c r="AH202" s="130">
        <v>33</v>
      </c>
      <c r="AI202" s="130">
        <v>118</v>
      </c>
      <c r="AJ202" s="129">
        <v>611</v>
      </c>
      <c r="AK202" s="128">
        <v>89.06</v>
      </c>
      <c r="AL202" s="127">
        <v>156</v>
      </c>
      <c r="AM202" s="126">
        <v>93.97</v>
      </c>
    </row>
    <row r="203" spans="1:40" x14ac:dyDescent="0.25">
      <c r="A203" s="113"/>
      <c r="B203" s="112" t="s">
        <v>281</v>
      </c>
      <c r="C203" s="112">
        <f t="shared" ref="C203:J203" si="49">SUM(C193:C202)</f>
        <v>41</v>
      </c>
      <c r="D203" s="124">
        <f t="shared" si="49"/>
        <v>22741</v>
      </c>
      <c r="E203" s="125">
        <f t="shared" si="49"/>
        <v>5703</v>
      </c>
      <c r="F203" s="124">
        <f t="shared" si="49"/>
        <v>323</v>
      </c>
      <c r="G203" s="124">
        <f t="shared" si="49"/>
        <v>210</v>
      </c>
      <c r="H203" s="124">
        <f t="shared" si="49"/>
        <v>210</v>
      </c>
      <c r="I203" s="124">
        <f t="shared" si="49"/>
        <v>842</v>
      </c>
      <c r="J203" s="124">
        <f t="shared" si="49"/>
        <v>3963</v>
      </c>
      <c r="K203" s="124"/>
      <c r="L203" s="124"/>
      <c r="M203" s="124"/>
      <c r="N203" s="124"/>
      <c r="O203" s="124"/>
      <c r="P203" s="124">
        <f>SUM(P193:P202)</f>
        <v>2813</v>
      </c>
      <c r="Q203" s="124">
        <f>SUM(Q193:Q202)</f>
        <v>2491</v>
      </c>
      <c r="R203" s="124">
        <f>SUM(R193:R202)</f>
        <v>3539</v>
      </c>
      <c r="S203" s="124">
        <f>SUM(S193:S202)</f>
        <v>12101</v>
      </c>
      <c r="T203" s="112"/>
      <c r="U203" s="112"/>
      <c r="V203" s="112"/>
      <c r="W203" s="112"/>
      <c r="X203" s="112">
        <f>SUM(X193:X202)</f>
        <v>10</v>
      </c>
      <c r="Y203" s="112"/>
      <c r="Z203" s="112"/>
      <c r="AA203" s="124"/>
      <c r="AB203" s="112"/>
      <c r="AC203" s="112"/>
      <c r="AD203" s="112"/>
      <c r="AE203" s="112"/>
      <c r="AF203" s="122">
        <f>SUM(AF193:AF202)</f>
        <v>833</v>
      </c>
      <c r="AG203" s="122">
        <f>SUM(AG193:AG202)</f>
        <v>776</v>
      </c>
      <c r="AH203" s="122">
        <f>SUM(AH193:AH202)</f>
        <v>928</v>
      </c>
      <c r="AI203" s="122">
        <f>SUM(AI193:AI202)</f>
        <v>3776</v>
      </c>
      <c r="AJ203" s="122">
        <f>SUM(AJ193:AJ202)</f>
        <v>20620</v>
      </c>
      <c r="AK203" s="123">
        <f>AJ203/D203*100</f>
        <v>90.673233367046308</v>
      </c>
      <c r="AL203" s="122">
        <f>SUM(AL193:AL202)</f>
        <v>5532</v>
      </c>
      <c r="AM203" s="121">
        <f>AL203/E203*100</f>
        <v>97.001578116780635</v>
      </c>
      <c r="AN203" s="99">
        <v>92.95</v>
      </c>
    </row>
    <row r="204" spans="1:40" x14ac:dyDescent="0.25">
      <c r="A204" s="120">
        <v>1</v>
      </c>
      <c r="B204" s="117" t="s">
        <v>280</v>
      </c>
      <c r="C204" s="117">
        <v>1</v>
      </c>
      <c r="D204" s="118">
        <v>565</v>
      </c>
      <c r="E204" s="119">
        <v>155</v>
      </c>
      <c r="F204" s="118">
        <v>47</v>
      </c>
      <c r="G204" s="118">
        <v>41</v>
      </c>
      <c r="H204" s="118">
        <v>41</v>
      </c>
      <c r="I204" s="118">
        <v>105</v>
      </c>
      <c r="J204" s="118">
        <v>424</v>
      </c>
      <c r="K204" s="118" t="s">
        <v>275</v>
      </c>
      <c r="L204" s="118" t="s">
        <v>275</v>
      </c>
      <c r="M204" s="118" t="s">
        <v>275</v>
      </c>
      <c r="N204" s="118" t="s">
        <v>275</v>
      </c>
      <c r="O204" s="118" t="s">
        <v>275</v>
      </c>
      <c r="P204" s="118">
        <v>40</v>
      </c>
      <c r="Q204" s="118">
        <v>40</v>
      </c>
      <c r="R204" s="118">
        <v>44</v>
      </c>
      <c r="S204" s="118">
        <v>120</v>
      </c>
      <c r="T204" s="117" t="s">
        <v>275</v>
      </c>
      <c r="U204" s="117" t="s">
        <v>275</v>
      </c>
      <c r="V204" s="117" t="s">
        <v>275</v>
      </c>
      <c r="W204" s="117" t="s">
        <v>275</v>
      </c>
      <c r="X204" s="117" t="s">
        <v>275</v>
      </c>
      <c r="Y204" s="117" t="s">
        <v>275</v>
      </c>
      <c r="Z204" s="117" t="s">
        <v>275</v>
      </c>
      <c r="AA204" s="118" t="s">
        <v>275</v>
      </c>
      <c r="AB204" s="117" t="s">
        <v>275</v>
      </c>
      <c r="AC204" s="117" t="s">
        <v>275</v>
      </c>
      <c r="AD204" s="117" t="s">
        <v>275</v>
      </c>
      <c r="AE204" s="117" t="s">
        <v>275</v>
      </c>
      <c r="AF204" s="115" t="s">
        <v>275</v>
      </c>
      <c r="AG204" s="115" t="s">
        <v>275</v>
      </c>
      <c r="AH204" s="115" t="s">
        <v>275</v>
      </c>
      <c r="AI204" s="115" t="s">
        <v>275</v>
      </c>
      <c r="AJ204" s="115">
        <v>544</v>
      </c>
      <c r="AK204" s="116">
        <v>96.283185840707958</v>
      </c>
      <c r="AL204" s="115">
        <v>149</v>
      </c>
      <c r="AM204" s="114">
        <v>96.129032258064512</v>
      </c>
    </row>
    <row r="205" spans="1:40" x14ac:dyDescent="0.25">
      <c r="A205" s="120">
        <v>2</v>
      </c>
      <c r="B205" s="117" t="s">
        <v>279</v>
      </c>
      <c r="C205" s="117">
        <v>1</v>
      </c>
      <c r="D205" s="118">
        <v>1781</v>
      </c>
      <c r="E205" s="119">
        <v>488</v>
      </c>
      <c r="F205" s="118">
        <v>71</v>
      </c>
      <c r="G205" s="118">
        <v>68</v>
      </c>
      <c r="H205" s="118">
        <v>68</v>
      </c>
      <c r="I205" s="118">
        <v>355</v>
      </c>
      <c r="J205" s="118">
        <v>1354</v>
      </c>
      <c r="K205" s="118" t="s">
        <v>275</v>
      </c>
      <c r="L205" s="118" t="s">
        <v>275</v>
      </c>
      <c r="M205" s="118" t="s">
        <v>275</v>
      </c>
      <c r="N205" s="118" t="s">
        <v>275</v>
      </c>
      <c r="O205" s="118" t="s">
        <v>275</v>
      </c>
      <c r="P205" s="118" t="s">
        <v>275</v>
      </c>
      <c r="Q205" s="118" t="s">
        <v>275</v>
      </c>
      <c r="R205" s="118" t="s">
        <v>275</v>
      </c>
      <c r="S205" s="118" t="s">
        <v>275</v>
      </c>
      <c r="T205" s="117" t="s">
        <v>275</v>
      </c>
      <c r="U205" s="117" t="s">
        <v>275</v>
      </c>
      <c r="V205" s="117" t="s">
        <v>275</v>
      </c>
      <c r="W205" s="117" t="s">
        <v>275</v>
      </c>
      <c r="X205" s="117" t="s">
        <v>275</v>
      </c>
      <c r="Y205" s="117" t="s">
        <v>275</v>
      </c>
      <c r="Z205" s="117" t="s">
        <v>275</v>
      </c>
      <c r="AA205" s="118" t="s">
        <v>275</v>
      </c>
      <c r="AB205" s="117" t="s">
        <v>275</v>
      </c>
      <c r="AC205" s="117" t="s">
        <v>275</v>
      </c>
      <c r="AD205" s="117" t="s">
        <v>275</v>
      </c>
      <c r="AE205" s="117" t="s">
        <v>275</v>
      </c>
      <c r="AF205" s="115">
        <v>99</v>
      </c>
      <c r="AG205" s="115">
        <v>99</v>
      </c>
      <c r="AH205" s="115">
        <v>99</v>
      </c>
      <c r="AI205" s="115">
        <v>305</v>
      </c>
      <c r="AJ205" s="115">
        <v>1659</v>
      </c>
      <c r="AK205" s="116">
        <v>93.149915777653007</v>
      </c>
      <c r="AL205" s="115">
        <v>454</v>
      </c>
      <c r="AM205" s="114">
        <v>93.032786885245898</v>
      </c>
    </row>
    <row r="206" spans="1:40" x14ac:dyDescent="0.25">
      <c r="A206" s="120">
        <v>3</v>
      </c>
      <c r="B206" s="117" t="s">
        <v>278</v>
      </c>
      <c r="C206" s="117">
        <v>1</v>
      </c>
      <c r="D206" s="118">
        <v>1332</v>
      </c>
      <c r="E206" s="119">
        <v>354</v>
      </c>
      <c r="F206" s="118">
        <v>72</v>
      </c>
      <c r="G206" s="118">
        <v>70</v>
      </c>
      <c r="H206" s="118">
        <v>70</v>
      </c>
      <c r="I206" s="118">
        <v>307</v>
      </c>
      <c r="J206" s="118">
        <v>1120</v>
      </c>
      <c r="K206" s="118" t="s">
        <v>275</v>
      </c>
      <c r="L206" s="118" t="s">
        <v>275</v>
      </c>
      <c r="M206" s="118" t="s">
        <v>275</v>
      </c>
      <c r="N206" s="118" t="s">
        <v>275</v>
      </c>
      <c r="O206" s="118" t="s">
        <v>275</v>
      </c>
      <c r="P206" s="118">
        <v>34</v>
      </c>
      <c r="Q206" s="118">
        <v>34</v>
      </c>
      <c r="R206" s="118">
        <v>30</v>
      </c>
      <c r="S206" s="118">
        <v>146</v>
      </c>
      <c r="T206" s="117" t="s">
        <v>275</v>
      </c>
      <c r="U206" s="117" t="s">
        <v>275</v>
      </c>
      <c r="V206" s="117" t="s">
        <v>275</v>
      </c>
      <c r="W206" s="117" t="s">
        <v>275</v>
      </c>
      <c r="X206" s="117" t="s">
        <v>275</v>
      </c>
      <c r="Y206" s="117" t="s">
        <v>275</v>
      </c>
      <c r="Z206" s="117" t="s">
        <v>275</v>
      </c>
      <c r="AA206" s="118" t="s">
        <v>275</v>
      </c>
      <c r="AB206" s="117" t="s">
        <v>275</v>
      </c>
      <c r="AC206" s="117" t="s">
        <v>275</v>
      </c>
      <c r="AD206" s="117" t="s">
        <v>275</v>
      </c>
      <c r="AE206" s="117" t="s">
        <v>275</v>
      </c>
      <c r="AF206" s="115" t="s">
        <v>275</v>
      </c>
      <c r="AG206" s="115" t="s">
        <v>275</v>
      </c>
      <c r="AH206" s="115" t="s">
        <v>275</v>
      </c>
      <c r="AI206" s="115" t="s">
        <v>275</v>
      </c>
      <c r="AJ206" s="115">
        <v>1266</v>
      </c>
      <c r="AK206" s="116">
        <v>95.045045045045043</v>
      </c>
      <c r="AL206" s="115">
        <v>337</v>
      </c>
      <c r="AM206" s="114">
        <v>95.197740112994353</v>
      </c>
    </row>
    <row r="207" spans="1:40" x14ac:dyDescent="0.25">
      <c r="A207" s="120">
        <v>4</v>
      </c>
      <c r="B207" s="117" t="s">
        <v>277</v>
      </c>
      <c r="C207" s="117">
        <v>1</v>
      </c>
      <c r="D207" s="118">
        <v>2773</v>
      </c>
      <c r="E207" s="119">
        <v>688</v>
      </c>
      <c r="F207" s="118">
        <v>60</v>
      </c>
      <c r="G207" s="118">
        <v>57</v>
      </c>
      <c r="H207" s="118">
        <v>57</v>
      </c>
      <c r="I207" s="118">
        <v>427</v>
      </c>
      <c r="J207" s="118">
        <v>1734</v>
      </c>
      <c r="K207" s="118" t="s">
        <v>275</v>
      </c>
      <c r="L207" s="118" t="s">
        <v>275</v>
      </c>
      <c r="M207" s="118" t="s">
        <v>275</v>
      </c>
      <c r="N207" s="118" t="s">
        <v>275</v>
      </c>
      <c r="O207" s="118" t="s">
        <v>275</v>
      </c>
      <c r="P207" s="118">
        <v>50</v>
      </c>
      <c r="Q207" s="118">
        <v>50</v>
      </c>
      <c r="R207" s="118">
        <v>58</v>
      </c>
      <c r="S207" s="118">
        <v>239</v>
      </c>
      <c r="T207" s="117" t="s">
        <v>275</v>
      </c>
      <c r="U207" s="117" t="s">
        <v>275</v>
      </c>
      <c r="V207" s="117" t="s">
        <v>275</v>
      </c>
      <c r="W207" s="117" t="s">
        <v>275</v>
      </c>
      <c r="X207" s="117" t="s">
        <v>275</v>
      </c>
      <c r="Y207" s="117" t="s">
        <v>275</v>
      </c>
      <c r="Z207" s="117" t="s">
        <v>275</v>
      </c>
      <c r="AA207" s="118" t="s">
        <v>275</v>
      </c>
      <c r="AB207" s="117" t="s">
        <v>275</v>
      </c>
      <c r="AC207" s="117" t="s">
        <v>275</v>
      </c>
      <c r="AD207" s="117" t="s">
        <v>275</v>
      </c>
      <c r="AE207" s="117" t="s">
        <v>275</v>
      </c>
      <c r="AF207" s="115">
        <v>152</v>
      </c>
      <c r="AG207" s="115">
        <v>132</v>
      </c>
      <c r="AH207" s="115">
        <v>132</v>
      </c>
      <c r="AI207" s="115">
        <v>496</v>
      </c>
      <c r="AJ207" s="115">
        <v>2469</v>
      </c>
      <c r="AK207" s="116">
        <v>89.037143887486479</v>
      </c>
      <c r="AL207" s="115">
        <v>617</v>
      </c>
      <c r="AM207" s="114">
        <v>89.680232558139537</v>
      </c>
    </row>
    <row r="208" spans="1:40" x14ac:dyDescent="0.25">
      <c r="A208" s="120">
        <v>5</v>
      </c>
      <c r="B208" s="117" t="s">
        <v>276</v>
      </c>
      <c r="C208" s="117">
        <v>1</v>
      </c>
      <c r="D208" s="118">
        <v>571</v>
      </c>
      <c r="E208" s="119">
        <v>149</v>
      </c>
      <c r="F208" s="118">
        <v>15</v>
      </c>
      <c r="G208" s="118">
        <v>12</v>
      </c>
      <c r="H208" s="118">
        <v>12</v>
      </c>
      <c r="I208" s="118">
        <v>105</v>
      </c>
      <c r="J208" s="118">
        <v>395</v>
      </c>
      <c r="K208" s="118" t="s">
        <v>275</v>
      </c>
      <c r="L208" s="118" t="s">
        <v>275</v>
      </c>
      <c r="M208" s="118" t="s">
        <v>275</v>
      </c>
      <c r="N208" s="118" t="s">
        <v>275</v>
      </c>
      <c r="O208" s="118" t="s">
        <v>275</v>
      </c>
      <c r="P208" s="118">
        <v>1</v>
      </c>
      <c r="Q208" s="118">
        <v>1</v>
      </c>
      <c r="R208" s="118">
        <v>1</v>
      </c>
      <c r="S208" s="118">
        <v>15</v>
      </c>
      <c r="T208" s="117" t="s">
        <v>275</v>
      </c>
      <c r="U208" s="117" t="s">
        <v>275</v>
      </c>
      <c r="V208" s="117" t="s">
        <v>275</v>
      </c>
      <c r="W208" s="117" t="s">
        <v>275</v>
      </c>
      <c r="X208" s="117" t="s">
        <v>275</v>
      </c>
      <c r="Y208" s="117" t="s">
        <v>275</v>
      </c>
      <c r="Z208" s="117" t="s">
        <v>275</v>
      </c>
      <c r="AA208" s="118" t="s">
        <v>275</v>
      </c>
      <c r="AB208" s="117" t="s">
        <v>275</v>
      </c>
      <c r="AC208" s="117" t="s">
        <v>275</v>
      </c>
      <c r="AD208" s="117" t="s">
        <v>275</v>
      </c>
      <c r="AE208" s="117" t="s">
        <v>275</v>
      </c>
      <c r="AF208" s="115" t="s">
        <v>275</v>
      </c>
      <c r="AG208" s="115" t="s">
        <v>275</v>
      </c>
      <c r="AH208" s="115" t="s">
        <v>275</v>
      </c>
      <c r="AI208" s="115" t="s">
        <v>275</v>
      </c>
      <c r="AJ208" s="115">
        <v>410</v>
      </c>
      <c r="AK208" s="116">
        <v>71.803852889667255</v>
      </c>
      <c r="AL208" s="115">
        <v>106</v>
      </c>
      <c r="AM208" s="114">
        <v>71.140939597315437</v>
      </c>
    </row>
    <row r="209" spans="1:40" x14ac:dyDescent="0.25">
      <c r="A209" s="113"/>
      <c r="B209" s="112" t="s">
        <v>274</v>
      </c>
      <c r="C209" s="112">
        <f t="shared" ref="C209:AJ209" si="50">SUM(C204:C208)</f>
        <v>5</v>
      </c>
      <c r="D209" s="112">
        <f t="shared" si="50"/>
        <v>7022</v>
      </c>
      <c r="E209" s="112">
        <f t="shared" si="50"/>
        <v>1834</v>
      </c>
      <c r="F209" s="112">
        <f t="shared" si="50"/>
        <v>265</v>
      </c>
      <c r="G209" s="112">
        <f t="shared" si="50"/>
        <v>248</v>
      </c>
      <c r="H209" s="112">
        <f t="shared" si="50"/>
        <v>248</v>
      </c>
      <c r="I209" s="112">
        <f t="shared" si="50"/>
        <v>1299</v>
      </c>
      <c r="J209" s="112">
        <f t="shared" si="50"/>
        <v>5027</v>
      </c>
      <c r="K209" s="112">
        <f t="shared" si="50"/>
        <v>0</v>
      </c>
      <c r="L209" s="112">
        <f t="shared" si="50"/>
        <v>0</v>
      </c>
      <c r="M209" s="112">
        <f t="shared" si="50"/>
        <v>0</v>
      </c>
      <c r="N209" s="112">
        <f t="shared" si="50"/>
        <v>0</v>
      </c>
      <c r="O209" s="112">
        <f t="shared" si="50"/>
        <v>0</v>
      </c>
      <c r="P209" s="112">
        <f t="shared" si="50"/>
        <v>125</v>
      </c>
      <c r="Q209" s="112">
        <f t="shared" si="50"/>
        <v>125</v>
      </c>
      <c r="R209" s="112">
        <f t="shared" si="50"/>
        <v>133</v>
      </c>
      <c r="S209" s="112">
        <f t="shared" si="50"/>
        <v>520</v>
      </c>
      <c r="T209" s="112">
        <f t="shared" si="50"/>
        <v>0</v>
      </c>
      <c r="U209" s="112">
        <f t="shared" si="50"/>
        <v>0</v>
      </c>
      <c r="V209" s="112">
        <f t="shared" si="50"/>
        <v>0</v>
      </c>
      <c r="W209" s="112">
        <f t="shared" si="50"/>
        <v>0</v>
      </c>
      <c r="X209" s="112">
        <f t="shared" si="50"/>
        <v>0</v>
      </c>
      <c r="Y209" s="112">
        <f t="shared" si="50"/>
        <v>0</v>
      </c>
      <c r="Z209" s="112">
        <f t="shared" si="50"/>
        <v>0</v>
      </c>
      <c r="AA209" s="112">
        <f t="shared" si="50"/>
        <v>0</v>
      </c>
      <c r="AB209" s="112">
        <f t="shared" si="50"/>
        <v>0</v>
      </c>
      <c r="AC209" s="112">
        <f t="shared" si="50"/>
        <v>0</v>
      </c>
      <c r="AD209" s="112">
        <f t="shared" si="50"/>
        <v>0</v>
      </c>
      <c r="AE209" s="112">
        <f t="shared" si="50"/>
        <v>0</v>
      </c>
      <c r="AF209" s="112">
        <f t="shared" si="50"/>
        <v>251</v>
      </c>
      <c r="AG209" s="112">
        <f t="shared" si="50"/>
        <v>231</v>
      </c>
      <c r="AH209" s="112">
        <f t="shared" si="50"/>
        <v>231</v>
      </c>
      <c r="AI209" s="112">
        <f t="shared" si="50"/>
        <v>801</v>
      </c>
      <c r="AJ209" s="112">
        <f t="shared" si="50"/>
        <v>6348</v>
      </c>
      <c r="AK209" s="111">
        <f>AJ209/D209*100</f>
        <v>90.401594987183145</v>
      </c>
      <c r="AL209" s="112">
        <f>SUM(AL204:AL208)</f>
        <v>1663</v>
      </c>
      <c r="AM209" s="111">
        <f t="shared" ref="AM209:AM225" si="51">AL209/E209*100</f>
        <v>90.676117775354413</v>
      </c>
      <c r="AN209" s="99">
        <v>93.73</v>
      </c>
    </row>
    <row r="210" spans="1:40" x14ac:dyDescent="0.25">
      <c r="A210" s="104">
        <v>1</v>
      </c>
      <c r="B210" s="104" t="s">
        <v>273</v>
      </c>
      <c r="C210" s="104">
        <v>1</v>
      </c>
      <c r="D210" s="104">
        <v>3687</v>
      </c>
      <c r="E210" s="104">
        <v>747</v>
      </c>
      <c r="F210" s="104">
        <v>9</v>
      </c>
      <c r="G210" s="104">
        <v>8</v>
      </c>
      <c r="H210" s="104">
        <v>8</v>
      </c>
      <c r="I210" s="104">
        <v>10</v>
      </c>
      <c r="J210" s="104">
        <v>70</v>
      </c>
      <c r="K210" s="104">
        <v>1</v>
      </c>
      <c r="L210" s="104">
        <v>1</v>
      </c>
      <c r="M210" s="104">
        <v>1</v>
      </c>
      <c r="N210" s="104">
        <v>1</v>
      </c>
      <c r="O210" s="104">
        <v>4</v>
      </c>
      <c r="P210" s="104">
        <v>517</v>
      </c>
      <c r="Q210" s="104">
        <v>517</v>
      </c>
      <c r="R210" s="104">
        <v>517</v>
      </c>
      <c r="S210" s="104">
        <v>2811</v>
      </c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>
        <v>110</v>
      </c>
      <c r="AG210" s="104">
        <v>110</v>
      </c>
      <c r="AH210" s="104">
        <v>110</v>
      </c>
      <c r="AI210" s="104">
        <v>520</v>
      </c>
      <c r="AJ210" s="104">
        <v>3405</v>
      </c>
      <c r="AK210" s="109">
        <v>92.351505288852735</v>
      </c>
      <c r="AL210" s="104">
        <v>690</v>
      </c>
      <c r="AM210" s="108">
        <f t="shared" si="51"/>
        <v>92.369477911646598</v>
      </c>
      <c r="AN210" s="110"/>
    </row>
    <row r="211" spans="1:40" x14ac:dyDescent="0.25">
      <c r="A211" s="104">
        <v>2</v>
      </c>
      <c r="B211" s="104" t="s">
        <v>272</v>
      </c>
      <c r="C211" s="104">
        <v>1</v>
      </c>
      <c r="D211" s="104">
        <v>3455</v>
      </c>
      <c r="E211" s="104">
        <v>770</v>
      </c>
      <c r="F211" s="104">
        <v>9</v>
      </c>
      <c r="G211" s="104">
        <v>8</v>
      </c>
      <c r="H211" s="104">
        <v>8</v>
      </c>
      <c r="I211" s="104">
        <v>10</v>
      </c>
      <c r="J211" s="104">
        <v>75</v>
      </c>
      <c r="K211" s="104">
        <v>1</v>
      </c>
      <c r="L211" s="104">
        <v>1</v>
      </c>
      <c r="M211" s="104">
        <v>1</v>
      </c>
      <c r="N211" s="104">
        <v>1</v>
      </c>
      <c r="O211" s="104">
        <v>5</v>
      </c>
      <c r="P211" s="104">
        <v>510</v>
      </c>
      <c r="Q211" s="104">
        <v>510</v>
      </c>
      <c r="R211" s="104">
        <v>510</v>
      </c>
      <c r="S211" s="104">
        <v>2475</v>
      </c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>
        <v>130</v>
      </c>
      <c r="AG211" s="104">
        <v>130</v>
      </c>
      <c r="AH211" s="104">
        <v>130</v>
      </c>
      <c r="AI211" s="104">
        <v>590</v>
      </c>
      <c r="AJ211" s="104">
        <v>3145</v>
      </c>
      <c r="AK211" s="109">
        <v>91.027496382055006</v>
      </c>
      <c r="AL211" s="104">
        <v>690</v>
      </c>
      <c r="AM211" s="108">
        <f t="shared" si="51"/>
        <v>89.610389610389603</v>
      </c>
      <c r="AN211" s="110"/>
    </row>
    <row r="212" spans="1:40" x14ac:dyDescent="0.25">
      <c r="A212" s="104">
        <v>3</v>
      </c>
      <c r="B212" s="104" t="s">
        <v>271</v>
      </c>
      <c r="C212" s="104">
        <v>1</v>
      </c>
      <c r="D212" s="104">
        <v>5129</v>
      </c>
      <c r="E212" s="104">
        <v>1424</v>
      </c>
      <c r="F212" s="104">
        <v>7</v>
      </c>
      <c r="G212" s="104">
        <v>6</v>
      </c>
      <c r="H212" s="104">
        <v>6</v>
      </c>
      <c r="I212" s="104">
        <v>8</v>
      </c>
      <c r="J212" s="104">
        <v>25</v>
      </c>
      <c r="K212" s="104">
        <v>0</v>
      </c>
      <c r="L212" s="104">
        <v>0</v>
      </c>
      <c r="M212" s="104">
        <v>0</v>
      </c>
      <c r="N212" s="104">
        <v>0</v>
      </c>
      <c r="O212" s="104">
        <v>0</v>
      </c>
      <c r="P212" s="104">
        <v>1100</v>
      </c>
      <c r="Q212" s="104">
        <v>1100</v>
      </c>
      <c r="R212" s="104">
        <v>1100</v>
      </c>
      <c r="S212" s="104">
        <v>3875</v>
      </c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>
        <v>150</v>
      </c>
      <c r="AG212" s="104">
        <v>150</v>
      </c>
      <c r="AH212" s="104">
        <v>150</v>
      </c>
      <c r="AI212" s="104">
        <v>820</v>
      </c>
      <c r="AJ212" s="104">
        <v>4720</v>
      </c>
      <c r="AK212" s="109">
        <v>92.025736010918308</v>
      </c>
      <c r="AL212" s="104">
        <v>1300</v>
      </c>
      <c r="AM212" s="108">
        <f t="shared" si="51"/>
        <v>91.292134831460672</v>
      </c>
      <c r="AN212" s="105"/>
    </row>
    <row r="213" spans="1:40" x14ac:dyDescent="0.25">
      <c r="A213" s="104">
        <v>4</v>
      </c>
      <c r="B213" s="104" t="s">
        <v>270</v>
      </c>
      <c r="C213" s="104">
        <v>1</v>
      </c>
      <c r="D213" s="104">
        <v>5329</v>
      </c>
      <c r="E213" s="104">
        <v>1166</v>
      </c>
      <c r="F213" s="104">
        <v>6</v>
      </c>
      <c r="G213" s="104">
        <v>5</v>
      </c>
      <c r="H213" s="104">
        <v>5</v>
      </c>
      <c r="I213" s="104">
        <v>7</v>
      </c>
      <c r="J213" s="104">
        <v>35</v>
      </c>
      <c r="K213" s="104">
        <v>0</v>
      </c>
      <c r="L213" s="104">
        <v>0</v>
      </c>
      <c r="M213" s="104">
        <v>0</v>
      </c>
      <c r="N213" s="104">
        <v>0</v>
      </c>
      <c r="O213" s="104">
        <v>0</v>
      </c>
      <c r="P213" s="104">
        <v>870</v>
      </c>
      <c r="Q213" s="104">
        <v>870</v>
      </c>
      <c r="R213" s="104">
        <v>870</v>
      </c>
      <c r="S213" s="104">
        <v>3906</v>
      </c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>
        <v>90</v>
      </c>
      <c r="AG213" s="104">
        <v>90</v>
      </c>
      <c r="AH213" s="104">
        <v>95</v>
      </c>
      <c r="AI213" s="104">
        <v>430</v>
      </c>
      <c r="AJ213" s="104">
        <v>4371</v>
      </c>
      <c r="AK213" s="109">
        <v>82.022893601050853</v>
      </c>
      <c r="AL213" s="104">
        <v>965</v>
      </c>
      <c r="AM213" s="108">
        <f t="shared" si="51"/>
        <v>82.761578044596916</v>
      </c>
      <c r="AN213" s="105"/>
    </row>
    <row r="214" spans="1:40" x14ac:dyDescent="0.25">
      <c r="A214" s="104">
        <v>5</v>
      </c>
      <c r="B214" s="104" t="s">
        <v>269</v>
      </c>
      <c r="C214" s="104">
        <v>1</v>
      </c>
      <c r="D214" s="104">
        <v>4436</v>
      </c>
      <c r="E214" s="104">
        <v>973</v>
      </c>
      <c r="F214" s="104">
        <v>2</v>
      </c>
      <c r="G214" s="104">
        <v>1</v>
      </c>
      <c r="H214" s="104">
        <v>1</v>
      </c>
      <c r="I214" s="104">
        <v>2</v>
      </c>
      <c r="J214" s="104">
        <v>18</v>
      </c>
      <c r="K214" s="104">
        <v>1</v>
      </c>
      <c r="L214" s="104">
        <v>1</v>
      </c>
      <c r="M214" s="104">
        <v>1</v>
      </c>
      <c r="N214" s="104">
        <v>1</v>
      </c>
      <c r="O214" s="104">
        <v>5</v>
      </c>
      <c r="P214" s="104">
        <v>750</v>
      </c>
      <c r="Q214" s="104">
        <v>750</v>
      </c>
      <c r="R214" s="104">
        <v>750</v>
      </c>
      <c r="S214" s="104">
        <v>3485</v>
      </c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>
        <v>100</v>
      </c>
      <c r="AG214" s="104">
        <v>100</v>
      </c>
      <c r="AH214" s="104">
        <v>102</v>
      </c>
      <c r="AI214" s="104">
        <v>490</v>
      </c>
      <c r="AJ214" s="104">
        <v>3998</v>
      </c>
      <c r="AK214" s="109">
        <v>90.126239855725885</v>
      </c>
      <c r="AL214" s="104">
        <v>900</v>
      </c>
      <c r="AM214" s="108">
        <f t="shared" si="51"/>
        <v>92.497430626927041</v>
      </c>
      <c r="AN214" s="105"/>
    </row>
    <row r="215" spans="1:40" x14ac:dyDescent="0.25">
      <c r="A215" s="104">
        <v>6</v>
      </c>
      <c r="B215" s="104" t="s">
        <v>268</v>
      </c>
      <c r="C215" s="104">
        <v>1</v>
      </c>
      <c r="D215" s="104">
        <v>3274</v>
      </c>
      <c r="E215" s="104">
        <v>683</v>
      </c>
      <c r="F215" s="104">
        <v>5</v>
      </c>
      <c r="G215" s="104">
        <v>4</v>
      </c>
      <c r="H215" s="104">
        <v>4</v>
      </c>
      <c r="I215" s="104">
        <v>5</v>
      </c>
      <c r="J215" s="104">
        <v>27</v>
      </c>
      <c r="K215" s="104">
        <v>0</v>
      </c>
      <c r="L215" s="104">
        <v>0</v>
      </c>
      <c r="M215" s="104">
        <v>0</v>
      </c>
      <c r="N215" s="104">
        <v>0</v>
      </c>
      <c r="O215" s="104">
        <v>0</v>
      </c>
      <c r="P215" s="104">
        <v>528</v>
      </c>
      <c r="Q215" s="104">
        <v>528</v>
      </c>
      <c r="R215" s="104">
        <v>528</v>
      </c>
      <c r="S215" s="104">
        <v>2693</v>
      </c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>
        <v>70</v>
      </c>
      <c r="AG215" s="104">
        <v>70</v>
      </c>
      <c r="AH215" s="104">
        <v>70</v>
      </c>
      <c r="AI215" s="104">
        <v>270</v>
      </c>
      <c r="AJ215" s="104">
        <v>2963</v>
      </c>
      <c r="AK215" s="109">
        <v>90.50091631032376</v>
      </c>
      <c r="AL215" s="104">
        <v>620</v>
      </c>
      <c r="AM215" s="108">
        <f t="shared" si="51"/>
        <v>90.775988286969252</v>
      </c>
      <c r="AN215" s="105"/>
    </row>
    <row r="216" spans="1:40" x14ac:dyDescent="0.25">
      <c r="A216" s="104">
        <v>7</v>
      </c>
      <c r="B216" s="104" t="s">
        <v>267</v>
      </c>
      <c r="C216" s="104">
        <v>1</v>
      </c>
      <c r="D216" s="104">
        <v>3773</v>
      </c>
      <c r="E216" s="104">
        <v>810</v>
      </c>
      <c r="F216" s="104">
        <v>5</v>
      </c>
      <c r="G216" s="104">
        <v>4</v>
      </c>
      <c r="H216" s="104">
        <v>4</v>
      </c>
      <c r="I216" s="104">
        <v>5</v>
      </c>
      <c r="J216" s="104">
        <v>22</v>
      </c>
      <c r="K216" s="104">
        <v>1</v>
      </c>
      <c r="L216" s="104">
        <v>1</v>
      </c>
      <c r="M216" s="104">
        <v>1</v>
      </c>
      <c r="N216" s="104">
        <v>1</v>
      </c>
      <c r="O216" s="104">
        <v>1</v>
      </c>
      <c r="P216" s="104">
        <v>650</v>
      </c>
      <c r="Q216" s="104">
        <v>650</v>
      </c>
      <c r="R216" s="104">
        <v>650</v>
      </c>
      <c r="S216" s="104">
        <v>3097</v>
      </c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>
        <v>60</v>
      </c>
      <c r="AG216" s="104">
        <v>60</v>
      </c>
      <c r="AH216" s="104">
        <v>60</v>
      </c>
      <c r="AI216" s="104">
        <v>252</v>
      </c>
      <c r="AJ216" s="104">
        <v>3372</v>
      </c>
      <c r="AK216" s="109">
        <v>89.371852637158767</v>
      </c>
      <c r="AL216" s="104">
        <v>720</v>
      </c>
      <c r="AM216" s="108">
        <f t="shared" si="51"/>
        <v>88.888888888888886</v>
      </c>
      <c r="AN216" s="105"/>
    </row>
    <row r="217" spans="1:40" x14ac:dyDescent="0.25">
      <c r="A217" s="104">
        <v>8</v>
      </c>
      <c r="B217" s="104" t="s">
        <v>266</v>
      </c>
      <c r="C217" s="104">
        <v>1</v>
      </c>
      <c r="D217" s="104">
        <v>1419</v>
      </c>
      <c r="E217" s="104">
        <v>356</v>
      </c>
      <c r="F217" s="104">
        <v>3</v>
      </c>
      <c r="G217" s="104">
        <v>2</v>
      </c>
      <c r="H217" s="104">
        <v>2</v>
      </c>
      <c r="I217" s="104">
        <v>3</v>
      </c>
      <c r="J217" s="104">
        <v>17</v>
      </c>
      <c r="K217" s="104">
        <v>0</v>
      </c>
      <c r="L217" s="104">
        <v>0</v>
      </c>
      <c r="M217" s="104">
        <v>0</v>
      </c>
      <c r="N217" s="104">
        <v>0</v>
      </c>
      <c r="O217" s="104">
        <v>0</v>
      </c>
      <c r="P217" s="104">
        <v>240</v>
      </c>
      <c r="Q217" s="104">
        <v>240</v>
      </c>
      <c r="R217" s="104">
        <v>240</v>
      </c>
      <c r="S217" s="104">
        <v>900</v>
      </c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>
        <v>55</v>
      </c>
      <c r="AG217" s="104">
        <v>55</v>
      </c>
      <c r="AH217" s="104">
        <v>55</v>
      </c>
      <c r="AI217" s="104">
        <v>290</v>
      </c>
      <c r="AJ217" s="104">
        <v>1207</v>
      </c>
      <c r="AK217" s="109">
        <v>85.059901338971116</v>
      </c>
      <c r="AL217" s="104">
        <v>320</v>
      </c>
      <c r="AM217" s="108">
        <f t="shared" si="51"/>
        <v>89.887640449438194</v>
      </c>
      <c r="AN217" s="105"/>
    </row>
    <row r="218" spans="1:40" x14ac:dyDescent="0.25">
      <c r="A218" s="104">
        <v>9</v>
      </c>
      <c r="B218" s="104" t="s">
        <v>265</v>
      </c>
      <c r="C218" s="104">
        <v>1</v>
      </c>
      <c r="D218" s="104">
        <v>1280</v>
      </c>
      <c r="E218" s="104">
        <v>292</v>
      </c>
      <c r="F218" s="104">
        <v>1</v>
      </c>
      <c r="G218" s="104">
        <v>1</v>
      </c>
      <c r="H218" s="104">
        <v>1</v>
      </c>
      <c r="I218" s="104">
        <v>1</v>
      </c>
      <c r="J218" s="104">
        <v>4</v>
      </c>
      <c r="K218" s="104">
        <v>1</v>
      </c>
      <c r="L218" s="104">
        <v>1</v>
      </c>
      <c r="M218" s="104">
        <v>1</v>
      </c>
      <c r="N218" s="104">
        <v>1</v>
      </c>
      <c r="O218" s="104">
        <v>1</v>
      </c>
      <c r="P218" s="104">
        <v>230</v>
      </c>
      <c r="Q218" s="104">
        <v>230</v>
      </c>
      <c r="R218" s="104">
        <v>230</v>
      </c>
      <c r="S218" s="104">
        <v>1045</v>
      </c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>
        <v>0</v>
      </c>
      <c r="AG218" s="104"/>
      <c r="AH218" s="104">
        <v>0</v>
      </c>
      <c r="AI218" s="104">
        <v>0</v>
      </c>
      <c r="AJ218" s="104">
        <v>1050</v>
      </c>
      <c r="AK218" s="109">
        <v>82.03125</v>
      </c>
      <c r="AL218" s="104">
        <v>240</v>
      </c>
      <c r="AM218" s="108">
        <f t="shared" si="51"/>
        <v>82.191780821917803</v>
      </c>
      <c r="AN218" s="105"/>
    </row>
    <row r="219" spans="1:40" x14ac:dyDescent="0.25">
      <c r="A219" s="104">
        <v>10</v>
      </c>
      <c r="B219" s="104" t="s">
        <v>264</v>
      </c>
      <c r="C219" s="104">
        <v>1</v>
      </c>
      <c r="D219" s="104">
        <v>2455</v>
      </c>
      <c r="E219" s="104">
        <v>609</v>
      </c>
      <c r="F219" s="104">
        <v>1</v>
      </c>
      <c r="G219" s="104">
        <v>1</v>
      </c>
      <c r="H219" s="104">
        <v>1</v>
      </c>
      <c r="I219" s="104">
        <v>2</v>
      </c>
      <c r="J219" s="104">
        <v>10</v>
      </c>
      <c r="K219" s="104">
        <v>0</v>
      </c>
      <c r="L219" s="104">
        <v>0</v>
      </c>
      <c r="M219" s="104">
        <v>0</v>
      </c>
      <c r="N219" s="104">
        <v>0</v>
      </c>
      <c r="O219" s="104">
        <v>0</v>
      </c>
      <c r="P219" s="104">
        <v>510</v>
      </c>
      <c r="Q219" s="104">
        <v>510</v>
      </c>
      <c r="R219" s="104">
        <v>510</v>
      </c>
      <c r="S219" s="104">
        <v>2085</v>
      </c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>
        <v>2095</v>
      </c>
      <c r="AK219" s="109">
        <v>85.336048879837065</v>
      </c>
      <c r="AL219" s="104">
        <v>523</v>
      </c>
      <c r="AM219" s="108">
        <f t="shared" si="51"/>
        <v>85.878489326765191</v>
      </c>
      <c r="AN219" s="105"/>
    </row>
    <row r="220" spans="1:40" x14ac:dyDescent="0.25">
      <c r="A220" s="104">
        <v>11</v>
      </c>
      <c r="B220" s="104" t="s">
        <v>263</v>
      </c>
      <c r="C220" s="104">
        <v>1</v>
      </c>
      <c r="D220" s="104">
        <v>2019</v>
      </c>
      <c r="E220" s="104">
        <v>446</v>
      </c>
      <c r="F220" s="104">
        <v>2</v>
      </c>
      <c r="G220" s="104">
        <v>1</v>
      </c>
      <c r="H220" s="104">
        <v>1</v>
      </c>
      <c r="I220" s="104">
        <v>2</v>
      </c>
      <c r="J220" s="104">
        <v>7</v>
      </c>
      <c r="K220" s="104">
        <v>1</v>
      </c>
      <c r="L220" s="104">
        <v>1</v>
      </c>
      <c r="M220" s="104">
        <v>1</v>
      </c>
      <c r="N220" s="104">
        <v>1</v>
      </c>
      <c r="O220" s="104">
        <v>4</v>
      </c>
      <c r="P220" s="104">
        <v>384</v>
      </c>
      <c r="Q220" s="104">
        <v>384</v>
      </c>
      <c r="R220" s="104">
        <v>384</v>
      </c>
      <c r="S220" s="104">
        <v>1867</v>
      </c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>
        <v>0</v>
      </c>
      <c r="AG220" s="104">
        <v>0</v>
      </c>
      <c r="AH220" s="104">
        <v>0</v>
      </c>
      <c r="AI220" s="104"/>
      <c r="AJ220" s="104">
        <v>1878</v>
      </c>
      <c r="AK220" s="109">
        <v>93.016344725111438</v>
      </c>
      <c r="AL220" s="104">
        <v>420</v>
      </c>
      <c r="AM220" s="108">
        <f t="shared" si="51"/>
        <v>94.170403587443957</v>
      </c>
      <c r="AN220" s="105"/>
    </row>
    <row r="221" spans="1:40" x14ac:dyDescent="0.25">
      <c r="A221" s="104">
        <v>12</v>
      </c>
      <c r="B221" s="104" t="s">
        <v>262</v>
      </c>
      <c r="C221" s="104">
        <v>1</v>
      </c>
      <c r="D221" s="104">
        <v>777</v>
      </c>
      <c r="E221" s="104">
        <v>383</v>
      </c>
      <c r="F221" s="104">
        <v>1</v>
      </c>
      <c r="G221" s="104">
        <v>1</v>
      </c>
      <c r="H221" s="104">
        <v>1</v>
      </c>
      <c r="I221" s="104">
        <v>1</v>
      </c>
      <c r="J221" s="104">
        <v>5</v>
      </c>
      <c r="K221" s="104">
        <v>0</v>
      </c>
      <c r="L221" s="104">
        <v>0</v>
      </c>
      <c r="M221" s="104">
        <v>0</v>
      </c>
      <c r="N221" s="104">
        <v>0</v>
      </c>
      <c r="O221" s="104">
        <v>0</v>
      </c>
      <c r="P221" s="104">
        <v>272</v>
      </c>
      <c r="Q221" s="104">
        <v>272</v>
      </c>
      <c r="R221" s="104">
        <v>272</v>
      </c>
      <c r="S221" s="104">
        <v>605</v>
      </c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>
        <v>0</v>
      </c>
      <c r="AG221" s="104">
        <v>0</v>
      </c>
      <c r="AH221" s="104">
        <v>0</v>
      </c>
      <c r="AI221" s="104">
        <v>0</v>
      </c>
      <c r="AJ221" s="104">
        <v>610</v>
      </c>
      <c r="AK221" s="109">
        <v>78.507078507078518</v>
      </c>
      <c r="AL221" s="104">
        <v>300</v>
      </c>
      <c r="AM221" s="108">
        <f t="shared" si="51"/>
        <v>78.328981723237604</v>
      </c>
      <c r="AN221" s="105"/>
    </row>
    <row r="222" spans="1:40" x14ac:dyDescent="0.25">
      <c r="A222" s="104">
        <v>13</v>
      </c>
      <c r="B222" s="104" t="s">
        <v>261</v>
      </c>
      <c r="C222" s="104">
        <v>1</v>
      </c>
      <c r="D222" s="104">
        <v>5237</v>
      </c>
      <c r="E222" s="104">
        <v>1204</v>
      </c>
      <c r="F222" s="104">
        <v>7</v>
      </c>
      <c r="G222" s="104">
        <v>4</v>
      </c>
      <c r="H222" s="104">
        <v>4</v>
      </c>
      <c r="I222" s="104">
        <v>7</v>
      </c>
      <c r="J222" s="104">
        <v>33</v>
      </c>
      <c r="K222" s="104">
        <v>5</v>
      </c>
      <c r="L222" s="104">
        <v>5</v>
      </c>
      <c r="M222" s="104">
        <v>5</v>
      </c>
      <c r="N222" s="104">
        <v>7</v>
      </c>
      <c r="O222" s="104">
        <v>38</v>
      </c>
      <c r="P222" s="104">
        <v>980</v>
      </c>
      <c r="Q222" s="104">
        <v>980</v>
      </c>
      <c r="R222" s="104">
        <v>980</v>
      </c>
      <c r="S222" s="104">
        <v>4520</v>
      </c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>
        <v>50</v>
      </c>
      <c r="AG222" s="104">
        <v>50</v>
      </c>
      <c r="AH222" s="104">
        <v>60</v>
      </c>
      <c r="AI222" s="104">
        <v>240</v>
      </c>
      <c r="AJ222" s="104">
        <v>4591</v>
      </c>
      <c r="AK222" s="109">
        <v>87.664693526828344</v>
      </c>
      <c r="AL222" s="104">
        <v>1163</v>
      </c>
      <c r="AM222" s="108">
        <f t="shared" si="51"/>
        <v>96.594684385382052</v>
      </c>
      <c r="AN222" s="105"/>
    </row>
    <row r="223" spans="1:40" x14ac:dyDescent="0.25">
      <c r="A223" s="104">
        <v>14</v>
      </c>
      <c r="B223" s="104" t="s">
        <v>260</v>
      </c>
      <c r="C223" s="104">
        <v>1</v>
      </c>
      <c r="D223" s="104">
        <v>3913</v>
      </c>
      <c r="E223" s="104">
        <v>910</v>
      </c>
      <c r="F223" s="104">
        <v>26</v>
      </c>
      <c r="G223" s="104">
        <v>21</v>
      </c>
      <c r="H223" s="104">
        <v>21</v>
      </c>
      <c r="I223" s="104">
        <v>24</v>
      </c>
      <c r="J223" s="104">
        <v>220</v>
      </c>
      <c r="K223" s="104">
        <v>0</v>
      </c>
      <c r="L223" s="104">
        <v>0</v>
      </c>
      <c r="M223" s="104">
        <v>0</v>
      </c>
      <c r="N223" s="104">
        <v>0</v>
      </c>
      <c r="O223" s="104">
        <v>0</v>
      </c>
      <c r="P223" s="104">
        <v>518</v>
      </c>
      <c r="Q223" s="104">
        <v>518</v>
      </c>
      <c r="R223" s="104">
        <v>518</v>
      </c>
      <c r="S223" s="104">
        <v>2334</v>
      </c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>
        <v>50</v>
      </c>
      <c r="AG223" s="104">
        <v>50</v>
      </c>
      <c r="AH223" s="104">
        <v>60</v>
      </c>
      <c r="AI223" s="104">
        <v>240</v>
      </c>
      <c r="AJ223" s="104">
        <v>2554</v>
      </c>
      <c r="AK223" s="109">
        <v>65.269614106823411</v>
      </c>
      <c r="AL223" s="104">
        <v>760</v>
      </c>
      <c r="AM223" s="108">
        <f t="shared" si="51"/>
        <v>83.516483516483518</v>
      </c>
      <c r="AN223" s="105"/>
    </row>
    <row r="224" spans="1:40" x14ac:dyDescent="0.25">
      <c r="A224" s="104">
        <v>15</v>
      </c>
      <c r="B224" s="104" t="s">
        <v>259</v>
      </c>
      <c r="C224" s="104">
        <v>1</v>
      </c>
      <c r="D224" s="104">
        <v>2190</v>
      </c>
      <c r="E224" s="104">
        <v>751</v>
      </c>
      <c r="F224" s="104">
        <v>2</v>
      </c>
      <c r="G224" s="104">
        <v>1</v>
      </c>
      <c r="H224" s="104">
        <v>1</v>
      </c>
      <c r="I224" s="104">
        <v>2</v>
      </c>
      <c r="J224" s="104">
        <v>7</v>
      </c>
      <c r="K224" s="104">
        <v>2</v>
      </c>
      <c r="L224" s="104">
        <v>2</v>
      </c>
      <c r="M224" s="104">
        <v>2</v>
      </c>
      <c r="N224" s="104">
        <v>4</v>
      </c>
      <c r="O224" s="104">
        <v>26</v>
      </c>
      <c r="P224" s="104">
        <v>548</v>
      </c>
      <c r="Q224" s="104">
        <v>548</v>
      </c>
      <c r="R224" s="104">
        <v>548</v>
      </c>
      <c r="S224" s="104">
        <v>1678</v>
      </c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>
        <v>1711</v>
      </c>
      <c r="AK224" s="109">
        <v>78.12785388127854</v>
      </c>
      <c r="AL224" s="104">
        <v>537</v>
      </c>
      <c r="AM224" s="108">
        <f t="shared" si="51"/>
        <v>71.504660452729695</v>
      </c>
      <c r="AN224" s="105"/>
    </row>
    <row r="225" spans="1:40" x14ac:dyDescent="0.25">
      <c r="A225" s="107"/>
      <c r="B225" s="107" t="s">
        <v>258</v>
      </c>
      <c r="C225" s="107">
        <f t="shared" ref="C225:AJ225" si="52">SUM(C210:C224)</f>
        <v>15</v>
      </c>
      <c r="D225" s="107">
        <f t="shared" si="52"/>
        <v>48373</v>
      </c>
      <c r="E225" s="107">
        <f t="shared" si="52"/>
        <v>11524</v>
      </c>
      <c r="F225" s="107">
        <f t="shared" si="52"/>
        <v>86</v>
      </c>
      <c r="G225" s="107">
        <f t="shared" si="52"/>
        <v>68</v>
      </c>
      <c r="H225" s="107">
        <f t="shared" si="52"/>
        <v>68</v>
      </c>
      <c r="I225" s="107">
        <f t="shared" si="52"/>
        <v>89</v>
      </c>
      <c r="J225" s="107">
        <f t="shared" si="52"/>
        <v>575</v>
      </c>
      <c r="K225" s="107">
        <f t="shared" si="52"/>
        <v>13</v>
      </c>
      <c r="L225" s="107">
        <f t="shared" si="52"/>
        <v>13</v>
      </c>
      <c r="M225" s="107">
        <f t="shared" si="52"/>
        <v>13</v>
      </c>
      <c r="N225" s="107">
        <f t="shared" si="52"/>
        <v>17</v>
      </c>
      <c r="O225" s="107">
        <f t="shared" si="52"/>
        <v>84</v>
      </c>
      <c r="P225" s="107">
        <f t="shared" si="52"/>
        <v>8607</v>
      </c>
      <c r="Q225" s="107">
        <f t="shared" si="52"/>
        <v>8607</v>
      </c>
      <c r="R225" s="107">
        <f t="shared" si="52"/>
        <v>8607</v>
      </c>
      <c r="S225" s="107">
        <f t="shared" si="52"/>
        <v>37376</v>
      </c>
      <c r="T225" s="107">
        <f t="shared" si="52"/>
        <v>0</v>
      </c>
      <c r="U225" s="107">
        <f t="shared" si="52"/>
        <v>0</v>
      </c>
      <c r="V225" s="107">
        <f t="shared" si="52"/>
        <v>0</v>
      </c>
      <c r="W225" s="107">
        <f t="shared" si="52"/>
        <v>0</v>
      </c>
      <c r="X225" s="107">
        <f t="shared" si="52"/>
        <v>0</v>
      </c>
      <c r="Y225" s="107">
        <f t="shared" si="52"/>
        <v>0</v>
      </c>
      <c r="Z225" s="107">
        <f t="shared" si="52"/>
        <v>0</v>
      </c>
      <c r="AA225" s="107">
        <f t="shared" si="52"/>
        <v>0</v>
      </c>
      <c r="AB225" s="107">
        <f t="shared" si="52"/>
        <v>0</v>
      </c>
      <c r="AC225" s="107">
        <f t="shared" si="52"/>
        <v>0</v>
      </c>
      <c r="AD225" s="107">
        <f t="shared" si="52"/>
        <v>0</v>
      </c>
      <c r="AE225" s="107">
        <f t="shared" si="52"/>
        <v>0</v>
      </c>
      <c r="AF225" s="107">
        <f t="shared" si="52"/>
        <v>865</v>
      </c>
      <c r="AG225" s="107">
        <f t="shared" si="52"/>
        <v>865</v>
      </c>
      <c r="AH225" s="107">
        <f t="shared" si="52"/>
        <v>892</v>
      </c>
      <c r="AI225" s="107">
        <f t="shared" si="52"/>
        <v>4142</v>
      </c>
      <c r="AJ225" s="107">
        <f t="shared" si="52"/>
        <v>41670</v>
      </c>
      <c r="AK225" s="106">
        <f>AJ225/D225*100</f>
        <v>86.143096355404879</v>
      </c>
      <c r="AL225" s="107">
        <f>SUM(AL210:AL224)</f>
        <v>10148</v>
      </c>
      <c r="AM225" s="106">
        <f t="shared" si="51"/>
        <v>88.059701492537314</v>
      </c>
      <c r="AN225" s="105">
        <v>83.01</v>
      </c>
    </row>
    <row r="226" spans="1:40" x14ac:dyDescent="0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  <c r="AM226" s="104"/>
    </row>
    <row r="227" spans="1:40" x14ac:dyDescent="0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</row>
    <row r="228" spans="1:40" x14ac:dyDescent="0.25">
      <c r="A228" s="103"/>
      <c r="B228" s="103" t="s">
        <v>257</v>
      </c>
      <c r="C228" s="103"/>
      <c r="D228" s="101">
        <f t="shared" ref="D228:AJ228" si="53">D225+D209+D203+D192+D184+D169+D154+D135+D120+D112+D99+D87+D83+D71+D64+D58+D53+D46+D36+D29+D19</f>
        <v>494245</v>
      </c>
      <c r="E228" s="101">
        <f t="shared" si="53"/>
        <v>126571</v>
      </c>
      <c r="F228" s="101">
        <f t="shared" si="53"/>
        <v>5813</v>
      </c>
      <c r="G228" s="101">
        <f t="shared" si="53"/>
        <v>4990</v>
      </c>
      <c r="H228" s="101">
        <f t="shared" si="53"/>
        <v>5028</v>
      </c>
      <c r="I228" s="101">
        <f t="shared" si="53"/>
        <v>19045</v>
      </c>
      <c r="J228" s="101">
        <f t="shared" si="53"/>
        <v>72383</v>
      </c>
      <c r="K228" s="101">
        <f t="shared" si="53"/>
        <v>724</v>
      </c>
      <c r="L228" s="101">
        <f t="shared" si="53"/>
        <v>599</v>
      </c>
      <c r="M228" s="101">
        <f t="shared" si="53"/>
        <v>616</v>
      </c>
      <c r="N228" s="101">
        <f t="shared" si="53"/>
        <v>2647</v>
      </c>
      <c r="O228" s="101">
        <f t="shared" si="53"/>
        <v>11998</v>
      </c>
      <c r="P228" s="101">
        <f t="shared" si="53"/>
        <v>51227</v>
      </c>
      <c r="Q228" s="101">
        <f t="shared" si="53"/>
        <v>49033</v>
      </c>
      <c r="R228" s="101">
        <f t="shared" si="53"/>
        <v>64980</v>
      </c>
      <c r="S228" s="101">
        <f t="shared" si="53"/>
        <v>244445</v>
      </c>
      <c r="T228" s="101">
        <f t="shared" si="53"/>
        <v>0</v>
      </c>
      <c r="U228" s="101">
        <f t="shared" si="53"/>
        <v>0</v>
      </c>
      <c r="V228" s="101">
        <f t="shared" si="53"/>
        <v>0</v>
      </c>
      <c r="W228" s="101">
        <f t="shared" si="53"/>
        <v>0</v>
      </c>
      <c r="X228" s="101">
        <f t="shared" si="53"/>
        <v>35</v>
      </c>
      <c r="Y228" s="101">
        <f t="shared" si="53"/>
        <v>15</v>
      </c>
      <c r="Z228" s="101">
        <f t="shared" si="53"/>
        <v>2479</v>
      </c>
      <c r="AA228" s="101">
        <f t="shared" si="53"/>
        <v>8537</v>
      </c>
      <c r="AB228" s="101">
        <f t="shared" si="53"/>
        <v>1</v>
      </c>
      <c r="AC228" s="101">
        <f t="shared" si="53"/>
        <v>1</v>
      </c>
      <c r="AD228" s="101">
        <f t="shared" si="53"/>
        <v>1</v>
      </c>
      <c r="AE228" s="101">
        <f t="shared" si="53"/>
        <v>5</v>
      </c>
      <c r="AF228" s="101">
        <f t="shared" si="53"/>
        <v>9334</v>
      </c>
      <c r="AG228" s="101">
        <f t="shared" si="53"/>
        <v>8875</v>
      </c>
      <c r="AH228" s="101">
        <f t="shared" si="53"/>
        <v>23487</v>
      </c>
      <c r="AI228" s="101">
        <f t="shared" si="53"/>
        <v>96044</v>
      </c>
      <c r="AJ228" s="101">
        <f t="shared" si="53"/>
        <v>447201</v>
      </c>
      <c r="AK228" s="102">
        <f>AJ228/D228*100</f>
        <v>90.48164371920808</v>
      </c>
      <c r="AL228" s="101">
        <f>AL225+AL209+AL203+AL192+AL184+AL169+AL154+AL135+AL120+AL112+AL99+AL87+AL83+AL71+AL64+AL58+AL53+AL46+AL36+AL29+AL19</f>
        <v>113942</v>
      </c>
      <c r="AM228" s="100">
        <f>AL228/E228*100</f>
        <v>90.022200978107151</v>
      </c>
      <c r="AN228" s="99">
        <v>86.66</v>
      </c>
    </row>
  </sheetData>
  <mergeCells count="57">
    <mergeCell ref="Q8:S8"/>
    <mergeCell ref="Q9:Q12"/>
    <mergeCell ref="R9:R12"/>
    <mergeCell ref="S9:S12"/>
    <mergeCell ref="G9:G12"/>
    <mergeCell ref="H9:H12"/>
    <mergeCell ref="I9:I12"/>
    <mergeCell ref="J9:J12"/>
    <mergeCell ref="L9:L12"/>
    <mergeCell ref="U9:U12"/>
    <mergeCell ref="V9:V12"/>
    <mergeCell ref="W9:W12"/>
    <mergeCell ref="Y9:Y12"/>
    <mergeCell ref="U8:W8"/>
    <mergeCell ref="X8:X12"/>
    <mergeCell ref="Y8:AA8"/>
    <mergeCell ref="Z9:Z12"/>
    <mergeCell ref="AA9:AA12"/>
    <mergeCell ref="F8:F12"/>
    <mergeCell ref="G8:J8"/>
    <mergeCell ref="K8:K12"/>
    <mergeCell ref="L8:O8"/>
    <mergeCell ref="P8:P12"/>
    <mergeCell ref="M9:M12"/>
    <mergeCell ref="N9:N12"/>
    <mergeCell ref="O9:O12"/>
    <mergeCell ref="AJ6:AJ12"/>
    <mergeCell ref="AK6:AK12"/>
    <mergeCell ref="AL6:AL12"/>
    <mergeCell ref="AM6:AM12"/>
    <mergeCell ref="AB7:AE7"/>
    <mergeCell ref="AH9:AH12"/>
    <mergeCell ref="AI9:AI12"/>
    <mergeCell ref="AG9:AG12"/>
    <mergeCell ref="AF8:AF12"/>
    <mergeCell ref="AG8:AI8"/>
    <mergeCell ref="AC9:AC12"/>
    <mergeCell ref="AD9:AD12"/>
    <mergeCell ref="AE9:AE12"/>
    <mergeCell ref="AB8:AB12"/>
    <mergeCell ref="AC8:AE8"/>
    <mergeCell ref="A1:AJ1"/>
    <mergeCell ref="A2:AJ2"/>
    <mergeCell ref="A3:AJ3"/>
    <mergeCell ref="A6:A12"/>
    <mergeCell ref="B6:B12"/>
    <mergeCell ref="C6:C12"/>
    <mergeCell ref="D6:D12"/>
    <mergeCell ref="E6:E12"/>
    <mergeCell ref="F6:AE6"/>
    <mergeCell ref="AF6:AI7"/>
    <mergeCell ref="F7:J7"/>
    <mergeCell ref="K7:O7"/>
    <mergeCell ref="P7:S7"/>
    <mergeCell ref="T7:W7"/>
    <mergeCell ref="X7:AA7"/>
    <mergeCell ref="T8:T12"/>
  </mergeCells>
  <printOptions horizontalCentered="1"/>
  <pageMargins left="0.25" right="0.25" top="0.75" bottom="0.75" header="0.3" footer="0.3"/>
  <pageSetup paperSize="175" scale="49" fitToHeight="0" orientation="landscape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84"/>
  <sheetViews>
    <sheetView view="pageBreakPreview" zoomScale="115" zoomScaleNormal="85" zoomScaleSheetLayoutView="115" workbookViewId="0">
      <pane xSplit="3" ySplit="4" topLeftCell="D71" activePane="bottomRight" state="frozen"/>
      <selection pane="topRight" activeCell="D1" sqref="D1"/>
      <selection pane="bottomLeft" activeCell="A5" sqref="A5"/>
      <selection pane="bottomRight" activeCell="R18" sqref="R18"/>
    </sheetView>
  </sheetViews>
  <sheetFormatPr defaultRowHeight="15" x14ac:dyDescent="0.25"/>
  <cols>
    <col min="1" max="2" width="4.7109375" customWidth="1"/>
    <col min="3" max="3" width="17.140625" customWidth="1"/>
    <col min="4" max="4" width="9.85546875" customWidth="1"/>
    <col min="5" max="5" width="8.140625" customWidth="1"/>
    <col min="6" max="6" width="6.140625" customWidth="1"/>
    <col min="7" max="7" width="8.140625" customWidth="1"/>
    <col min="8" max="8" width="6.140625" customWidth="1"/>
    <col min="9" max="9" width="8.5703125" customWidth="1"/>
    <col min="10" max="10" width="6.28515625" customWidth="1"/>
    <col min="11" max="11" width="7.85546875" customWidth="1"/>
    <col min="12" max="12" width="6.28515625" customWidth="1"/>
    <col min="13" max="13" width="7" customWidth="1"/>
    <col min="14" max="14" width="6.140625" customWidth="1"/>
    <col min="15" max="15" width="7" customWidth="1"/>
    <col min="16" max="16" width="6.28515625" customWidth="1"/>
    <col min="17" max="17" width="9.28515625" customWidth="1"/>
    <col min="18" max="18" width="6.28515625" customWidth="1"/>
    <col min="19" max="19" width="8.5703125" customWidth="1"/>
    <col min="20" max="20" width="6.42578125" customWidth="1"/>
    <col min="21" max="21" width="8.5703125" customWidth="1"/>
    <col min="22" max="22" width="6.42578125" customWidth="1"/>
  </cols>
  <sheetData>
    <row r="1" spans="1:22" ht="15.2" customHeight="1" x14ac:dyDescent="0.25">
      <c r="A1" s="463" t="s">
        <v>0</v>
      </c>
      <c r="B1" s="463" t="s">
        <v>1</v>
      </c>
      <c r="C1" s="463"/>
      <c r="D1" s="463" t="s">
        <v>503</v>
      </c>
      <c r="E1" s="466" t="s">
        <v>2</v>
      </c>
      <c r="F1" s="466"/>
      <c r="G1" s="466"/>
      <c r="H1" s="466"/>
      <c r="I1" s="466" t="s">
        <v>3</v>
      </c>
      <c r="J1" s="466"/>
      <c r="K1" s="466"/>
      <c r="L1" s="466"/>
      <c r="M1" s="466"/>
      <c r="N1" s="466"/>
      <c r="O1" s="466"/>
      <c r="P1" s="466"/>
      <c r="Q1" s="466" t="s">
        <v>4</v>
      </c>
      <c r="R1" s="466"/>
      <c r="S1" s="466" t="s">
        <v>5</v>
      </c>
      <c r="T1" s="466"/>
      <c r="U1" s="466" t="s">
        <v>26</v>
      </c>
      <c r="V1" s="466"/>
    </row>
    <row r="2" spans="1:22" ht="31.5" customHeight="1" x14ac:dyDescent="0.25">
      <c r="A2" s="463" t="s">
        <v>0</v>
      </c>
      <c r="B2" s="463" t="s">
        <v>1</v>
      </c>
      <c r="C2" s="464"/>
      <c r="D2" s="463" t="s">
        <v>504</v>
      </c>
      <c r="E2" s="466" t="s">
        <v>6</v>
      </c>
      <c r="F2" s="466"/>
      <c r="G2" s="466" t="s">
        <v>7</v>
      </c>
      <c r="H2" s="466"/>
      <c r="I2" s="466" t="s">
        <v>8</v>
      </c>
      <c r="J2" s="466"/>
      <c r="K2" s="466" t="s">
        <v>9</v>
      </c>
      <c r="L2" s="466"/>
      <c r="M2" s="466" t="s">
        <v>10</v>
      </c>
      <c r="N2" s="466"/>
      <c r="O2" s="466" t="s">
        <v>11</v>
      </c>
      <c r="P2" s="466"/>
      <c r="Q2" s="466" t="s">
        <v>4</v>
      </c>
      <c r="R2" s="464"/>
      <c r="S2" s="466" t="s">
        <v>5</v>
      </c>
      <c r="T2" s="464"/>
      <c r="U2" s="466" t="s">
        <v>5</v>
      </c>
      <c r="V2" s="464"/>
    </row>
    <row r="3" spans="1:22" ht="12.95" customHeight="1" x14ac:dyDescent="0.25">
      <c r="A3" s="463" t="s">
        <v>0</v>
      </c>
      <c r="B3" s="463" t="s">
        <v>1</v>
      </c>
      <c r="C3" s="464"/>
      <c r="D3" s="463" t="s">
        <v>504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14</v>
      </c>
      <c r="J3" s="4" t="s">
        <v>13</v>
      </c>
      <c r="K3" s="4" t="s">
        <v>14</v>
      </c>
      <c r="L3" s="4" t="s">
        <v>16</v>
      </c>
      <c r="M3" s="4" t="s">
        <v>17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15</v>
      </c>
      <c r="S3" s="4" t="s">
        <v>20</v>
      </c>
      <c r="T3" s="4" t="s">
        <v>21</v>
      </c>
      <c r="U3" s="4" t="s">
        <v>27</v>
      </c>
      <c r="V3" s="4" t="s">
        <v>28</v>
      </c>
    </row>
    <row r="4" spans="1:22" ht="12" customHeight="1" x14ac:dyDescent="0.25">
      <c r="A4" s="469" t="s">
        <v>22</v>
      </c>
      <c r="B4" s="470" t="s">
        <v>505</v>
      </c>
      <c r="C4" s="47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s="218" customFormat="1" ht="12.75" customHeight="1" x14ac:dyDescent="0.2">
      <c r="A5" s="469" t="s">
        <v>22</v>
      </c>
      <c r="B5" s="3">
        <v>1</v>
      </c>
      <c r="C5" s="214" t="s">
        <v>506</v>
      </c>
      <c r="D5" s="215">
        <v>1130</v>
      </c>
      <c r="E5" s="216">
        <v>1089.2459016393443</v>
      </c>
      <c r="F5" s="216">
        <v>96.393442622950815</v>
      </c>
      <c r="G5" s="216">
        <v>0</v>
      </c>
      <c r="H5" s="216">
        <v>0</v>
      </c>
      <c r="I5" s="215">
        <v>40.754098360655739</v>
      </c>
      <c r="J5" s="215">
        <v>3.6065573770491808</v>
      </c>
      <c r="K5" s="215">
        <v>0</v>
      </c>
      <c r="L5" s="215">
        <v>0</v>
      </c>
      <c r="M5" s="216">
        <v>0</v>
      </c>
      <c r="N5" s="216">
        <v>0</v>
      </c>
      <c r="O5" s="215">
        <v>0</v>
      </c>
      <c r="P5" s="215">
        <v>0</v>
      </c>
      <c r="Q5" s="215">
        <f t="shared" ref="Q5:Q19" si="0">E5+G5+I5+K5+M5+O5</f>
        <v>1130</v>
      </c>
      <c r="R5" s="215">
        <f t="shared" ref="R5:R20" si="1">Q5/D5*100</f>
        <v>100</v>
      </c>
      <c r="S5" s="215">
        <f t="shared" ref="S5:S19" si="2">D5-Q5</f>
        <v>0</v>
      </c>
      <c r="T5" s="215">
        <f t="shared" ref="T5:T19" si="3">100-(F5+H5+J5+L5+N5+P5)</f>
        <v>0</v>
      </c>
      <c r="U5" s="3"/>
      <c r="V5" s="217" t="s">
        <v>507</v>
      </c>
    </row>
    <row r="6" spans="1:22" s="218" customFormat="1" ht="12.4" customHeight="1" x14ac:dyDescent="0.2">
      <c r="A6" s="469" t="s">
        <v>22</v>
      </c>
      <c r="B6" s="3">
        <v>2</v>
      </c>
      <c r="C6" s="214" t="s">
        <v>508</v>
      </c>
      <c r="D6" s="215">
        <v>1565</v>
      </c>
      <c r="E6" s="216">
        <v>714.15938864628822</v>
      </c>
      <c r="F6" s="216">
        <v>45.633187772925766</v>
      </c>
      <c r="G6" s="216">
        <v>351.95414847161572</v>
      </c>
      <c r="H6" s="216">
        <v>22.489082969432314</v>
      </c>
      <c r="I6" s="215">
        <v>82.008733624454152</v>
      </c>
      <c r="J6" s="215">
        <v>5.2401746724890836</v>
      </c>
      <c r="K6" s="215">
        <v>0</v>
      </c>
      <c r="L6" s="215">
        <v>0</v>
      </c>
      <c r="M6" s="216">
        <v>0</v>
      </c>
      <c r="N6" s="216">
        <v>0</v>
      </c>
      <c r="O6" s="215">
        <v>0</v>
      </c>
      <c r="P6" s="215">
        <v>0</v>
      </c>
      <c r="Q6" s="215">
        <f t="shared" si="0"/>
        <v>1148.1222707423581</v>
      </c>
      <c r="R6" s="215">
        <f t="shared" si="1"/>
        <v>73.362445414847173</v>
      </c>
      <c r="S6" s="215">
        <f t="shared" si="2"/>
        <v>416.87772925764193</v>
      </c>
      <c r="T6" s="215">
        <f t="shared" si="3"/>
        <v>26.637554585152827</v>
      </c>
      <c r="U6" s="217" t="s">
        <v>507</v>
      </c>
      <c r="V6" s="217"/>
    </row>
    <row r="7" spans="1:22" s="218" customFormat="1" ht="12.6" customHeight="1" x14ac:dyDescent="0.2">
      <c r="A7" s="469" t="s">
        <v>22</v>
      </c>
      <c r="B7" s="3">
        <v>3</v>
      </c>
      <c r="C7" s="214" t="s">
        <v>509</v>
      </c>
      <c r="D7" s="215">
        <v>2035</v>
      </c>
      <c r="E7" s="216">
        <v>1306.9761499148212</v>
      </c>
      <c r="F7" s="216">
        <v>64.224872231686547</v>
      </c>
      <c r="G7" s="216">
        <v>27.734241908006815</v>
      </c>
      <c r="H7" s="216">
        <v>1.362862010221465</v>
      </c>
      <c r="I7" s="215">
        <v>168</v>
      </c>
      <c r="J7" s="215">
        <v>8.2555282555282545</v>
      </c>
      <c r="K7" s="215">
        <v>143</v>
      </c>
      <c r="L7" s="215">
        <v>7.0270270270270272</v>
      </c>
      <c r="M7" s="216">
        <v>0</v>
      </c>
      <c r="N7" s="216">
        <v>0</v>
      </c>
      <c r="O7" s="215">
        <v>0</v>
      </c>
      <c r="P7" s="215">
        <v>0</v>
      </c>
      <c r="Q7" s="215">
        <f t="shared" si="0"/>
        <v>1645.7103918228281</v>
      </c>
      <c r="R7" s="215">
        <f t="shared" si="1"/>
        <v>80.870289524463303</v>
      </c>
      <c r="S7" s="215">
        <f t="shared" si="2"/>
        <v>389.28960817717189</v>
      </c>
      <c r="T7" s="215">
        <f t="shared" si="3"/>
        <v>19.129710475536712</v>
      </c>
      <c r="U7" s="217" t="s">
        <v>507</v>
      </c>
      <c r="V7" s="3"/>
    </row>
    <row r="8" spans="1:22" s="218" customFormat="1" ht="12.4" customHeight="1" x14ac:dyDescent="0.2">
      <c r="A8" s="469" t="s">
        <v>22</v>
      </c>
      <c r="B8" s="3">
        <v>4</v>
      </c>
      <c r="C8" s="214" t="s">
        <v>510</v>
      </c>
      <c r="D8" s="215">
        <v>3210</v>
      </c>
      <c r="E8" s="216">
        <v>3210</v>
      </c>
      <c r="F8" s="216">
        <v>100</v>
      </c>
      <c r="G8" s="216">
        <v>0</v>
      </c>
      <c r="H8" s="216">
        <v>0</v>
      </c>
      <c r="I8" s="215">
        <v>0</v>
      </c>
      <c r="J8" s="215">
        <v>0</v>
      </c>
      <c r="K8" s="215">
        <v>0</v>
      </c>
      <c r="L8" s="215">
        <v>0</v>
      </c>
      <c r="M8" s="216">
        <v>0</v>
      </c>
      <c r="N8" s="216">
        <v>0</v>
      </c>
      <c r="O8" s="215">
        <v>0</v>
      </c>
      <c r="P8" s="215">
        <v>0</v>
      </c>
      <c r="Q8" s="215">
        <f t="shared" si="0"/>
        <v>3210</v>
      </c>
      <c r="R8" s="215">
        <f t="shared" si="1"/>
        <v>100</v>
      </c>
      <c r="S8" s="215">
        <f t="shared" si="2"/>
        <v>0</v>
      </c>
      <c r="T8" s="215">
        <f t="shared" si="3"/>
        <v>0</v>
      </c>
      <c r="U8" s="217" t="s">
        <v>507</v>
      </c>
      <c r="V8" s="3"/>
    </row>
    <row r="9" spans="1:22" s="218" customFormat="1" ht="12.4" customHeight="1" x14ac:dyDescent="0.2">
      <c r="A9" s="469" t="s">
        <v>22</v>
      </c>
      <c r="B9" s="3">
        <v>5</v>
      </c>
      <c r="C9" s="214" t="s">
        <v>511</v>
      </c>
      <c r="D9" s="215">
        <v>1996</v>
      </c>
      <c r="E9" s="216">
        <v>1681.6117216117216</v>
      </c>
      <c r="F9" s="216">
        <v>84.249084249084248</v>
      </c>
      <c r="G9" s="216">
        <v>0</v>
      </c>
      <c r="H9" s="216">
        <v>0</v>
      </c>
      <c r="I9" s="215">
        <v>0</v>
      </c>
      <c r="J9" s="215">
        <v>0</v>
      </c>
      <c r="K9" s="215">
        <v>93</v>
      </c>
      <c r="L9" s="215">
        <v>4.6593186372745485</v>
      </c>
      <c r="M9" s="216">
        <v>0</v>
      </c>
      <c r="N9" s="216">
        <v>0</v>
      </c>
      <c r="O9" s="215">
        <v>0</v>
      </c>
      <c r="P9" s="215">
        <v>0</v>
      </c>
      <c r="Q9" s="215">
        <f t="shared" si="0"/>
        <v>1774.6117216117216</v>
      </c>
      <c r="R9" s="215">
        <f t="shared" si="1"/>
        <v>88.9084028863588</v>
      </c>
      <c r="S9" s="215">
        <f t="shared" si="2"/>
        <v>221.38827838827842</v>
      </c>
      <c r="T9" s="215">
        <f t="shared" si="3"/>
        <v>11.0915971136412</v>
      </c>
      <c r="U9" s="217" t="s">
        <v>507</v>
      </c>
      <c r="V9" s="3"/>
    </row>
    <row r="10" spans="1:22" s="218" customFormat="1" ht="12.6" customHeight="1" x14ac:dyDescent="0.2">
      <c r="A10" s="469" t="s">
        <v>22</v>
      </c>
      <c r="B10" s="3">
        <v>6</v>
      </c>
      <c r="C10" s="214" t="s">
        <v>512</v>
      </c>
      <c r="D10" s="215">
        <v>1870</v>
      </c>
      <c r="E10" s="216">
        <v>133.57142857142858</v>
      </c>
      <c r="F10" s="216">
        <v>7.1428571428571441</v>
      </c>
      <c r="G10" s="216">
        <v>0</v>
      </c>
      <c r="H10" s="216">
        <v>0</v>
      </c>
      <c r="I10" s="215">
        <v>1168.75</v>
      </c>
      <c r="J10" s="215">
        <v>62.5</v>
      </c>
      <c r="K10" s="215">
        <v>121.04910714285715</v>
      </c>
      <c r="L10" s="215">
        <v>6.4732142857142865</v>
      </c>
      <c r="M10" s="216">
        <v>0</v>
      </c>
      <c r="N10" s="216">
        <v>0</v>
      </c>
      <c r="O10" s="215">
        <v>0</v>
      </c>
      <c r="P10" s="215">
        <v>0</v>
      </c>
      <c r="Q10" s="215">
        <f t="shared" si="0"/>
        <v>1423.3705357142858</v>
      </c>
      <c r="R10" s="215">
        <f t="shared" si="1"/>
        <v>76.116071428571431</v>
      </c>
      <c r="S10" s="215">
        <f t="shared" si="2"/>
        <v>446.62946428571422</v>
      </c>
      <c r="T10" s="215">
        <f t="shared" si="3"/>
        <v>23.883928571428569</v>
      </c>
      <c r="U10" s="217" t="s">
        <v>507</v>
      </c>
      <c r="V10" s="3"/>
    </row>
    <row r="11" spans="1:22" s="218" customFormat="1" ht="12.6" customHeight="1" x14ac:dyDescent="0.2">
      <c r="A11" s="469"/>
      <c r="B11" s="3">
        <v>7</v>
      </c>
      <c r="C11" s="214" t="s">
        <v>513</v>
      </c>
      <c r="D11" s="215">
        <v>2307</v>
      </c>
      <c r="E11" s="216">
        <v>0</v>
      </c>
      <c r="F11" s="216">
        <v>0</v>
      </c>
      <c r="G11" s="216">
        <v>1067.0706051873199</v>
      </c>
      <c r="H11" s="216">
        <v>46.253602305475503</v>
      </c>
      <c r="I11" s="215">
        <v>0</v>
      </c>
      <c r="J11" s="215">
        <v>0</v>
      </c>
      <c r="K11" s="215">
        <v>637</v>
      </c>
      <c r="L11" s="215">
        <v>27.611616818378849</v>
      </c>
      <c r="M11" s="216">
        <v>0</v>
      </c>
      <c r="N11" s="216">
        <v>0</v>
      </c>
      <c r="O11" s="215">
        <v>0</v>
      </c>
      <c r="P11" s="215">
        <v>0</v>
      </c>
      <c r="Q11" s="215">
        <f t="shared" si="0"/>
        <v>1704.0706051873199</v>
      </c>
      <c r="R11" s="215">
        <f t="shared" si="1"/>
        <v>73.865219123854359</v>
      </c>
      <c r="S11" s="215">
        <f t="shared" si="2"/>
        <v>602.92939481268013</v>
      </c>
      <c r="T11" s="215">
        <f t="shared" si="3"/>
        <v>26.134780876145641</v>
      </c>
      <c r="U11" s="217" t="s">
        <v>507</v>
      </c>
      <c r="V11" s="3"/>
    </row>
    <row r="12" spans="1:22" s="218" customFormat="1" ht="12.75" customHeight="1" x14ac:dyDescent="0.2">
      <c r="A12" s="469" t="s">
        <v>22</v>
      </c>
      <c r="B12" s="219">
        <v>8</v>
      </c>
      <c r="C12" s="220" t="s">
        <v>514</v>
      </c>
      <c r="D12" s="215">
        <v>1063</v>
      </c>
      <c r="E12" s="216">
        <v>107.60429447852761</v>
      </c>
      <c r="F12" s="216">
        <v>10.122699386503067</v>
      </c>
      <c r="G12" s="216">
        <v>65.214723926380373</v>
      </c>
      <c r="H12" s="216">
        <v>6.1349693251533752</v>
      </c>
      <c r="I12" s="215">
        <v>335.85582822085888</v>
      </c>
      <c r="J12" s="215">
        <v>31.595092024539877</v>
      </c>
      <c r="K12" s="215">
        <v>211.9478527607362</v>
      </c>
      <c r="L12" s="215">
        <v>19.938650306748464</v>
      </c>
      <c r="M12" s="216">
        <v>0</v>
      </c>
      <c r="N12" s="216">
        <v>0</v>
      </c>
      <c r="O12" s="215">
        <v>0</v>
      </c>
      <c r="P12" s="215">
        <v>0</v>
      </c>
      <c r="Q12" s="215">
        <f t="shared" si="0"/>
        <v>720.62269938650309</v>
      </c>
      <c r="R12" s="215">
        <f t="shared" si="1"/>
        <v>67.791411042944787</v>
      </c>
      <c r="S12" s="215">
        <f t="shared" si="2"/>
        <v>342.37730061349691</v>
      </c>
      <c r="T12" s="215">
        <f t="shared" si="3"/>
        <v>32.208588957055213</v>
      </c>
      <c r="U12" s="217" t="s">
        <v>507</v>
      </c>
      <c r="V12" s="3"/>
    </row>
    <row r="13" spans="1:22" s="218" customFormat="1" ht="12.75" customHeight="1" x14ac:dyDescent="0.2">
      <c r="A13" s="486"/>
      <c r="B13" s="221">
        <v>9</v>
      </c>
      <c r="C13" s="222" t="s">
        <v>515</v>
      </c>
      <c r="D13" s="223">
        <v>7347</v>
      </c>
      <c r="E13" s="216">
        <v>3859.2277807344331</v>
      </c>
      <c r="F13" s="216">
        <v>52.527940393826498</v>
      </c>
      <c r="G13" s="216">
        <v>0</v>
      </c>
      <c r="H13" s="216">
        <v>0</v>
      </c>
      <c r="I13" s="215">
        <v>265.88398084087294</v>
      </c>
      <c r="J13" s="215">
        <v>3.6189462480042596</v>
      </c>
      <c r="K13" s="215">
        <v>3221.888238424694</v>
      </c>
      <c r="L13" s="215">
        <v>43.853113358169239</v>
      </c>
      <c r="M13" s="216">
        <v>0</v>
      </c>
      <c r="N13" s="216">
        <v>0</v>
      </c>
      <c r="O13" s="215">
        <v>0</v>
      </c>
      <c r="P13" s="215">
        <v>0</v>
      </c>
      <c r="Q13" s="215">
        <f t="shared" si="0"/>
        <v>7347</v>
      </c>
      <c r="R13" s="215">
        <f t="shared" si="1"/>
        <v>100</v>
      </c>
      <c r="S13" s="215">
        <f t="shared" si="2"/>
        <v>0</v>
      </c>
      <c r="T13" s="215">
        <f t="shared" si="3"/>
        <v>0</v>
      </c>
      <c r="U13" s="3"/>
      <c r="V13" s="217" t="s">
        <v>507</v>
      </c>
    </row>
    <row r="14" spans="1:22" s="218" customFormat="1" ht="12.75" customHeight="1" x14ac:dyDescent="0.2">
      <c r="A14" s="486"/>
      <c r="B14" s="221">
        <v>10</v>
      </c>
      <c r="C14" s="222" t="s">
        <v>516</v>
      </c>
      <c r="D14" s="223">
        <v>5209</v>
      </c>
      <c r="E14" s="216">
        <v>3207.5872899926953</v>
      </c>
      <c r="F14" s="216">
        <v>61.577794010226441</v>
      </c>
      <c r="G14" s="216">
        <v>0</v>
      </c>
      <c r="H14" s="216">
        <v>0</v>
      </c>
      <c r="I14" s="215">
        <v>2001.4127100073047</v>
      </c>
      <c r="J14" s="215">
        <v>38.422205989773559</v>
      </c>
      <c r="K14" s="215">
        <v>0</v>
      </c>
      <c r="L14" s="215">
        <v>0</v>
      </c>
      <c r="M14" s="216">
        <v>0</v>
      </c>
      <c r="N14" s="216">
        <v>0</v>
      </c>
      <c r="O14" s="215">
        <v>0</v>
      </c>
      <c r="P14" s="215">
        <v>0</v>
      </c>
      <c r="Q14" s="215">
        <f t="shared" si="0"/>
        <v>5209</v>
      </c>
      <c r="R14" s="215">
        <f t="shared" si="1"/>
        <v>100</v>
      </c>
      <c r="S14" s="215">
        <f t="shared" si="2"/>
        <v>0</v>
      </c>
      <c r="T14" s="215">
        <f t="shared" si="3"/>
        <v>0</v>
      </c>
      <c r="U14" s="3"/>
      <c r="V14" s="217" t="s">
        <v>507</v>
      </c>
    </row>
    <row r="15" spans="1:22" s="218" customFormat="1" ht="12.75" customHeight="1" x14ac:dyDescent="0.2">
      <c r="A15" s="486"/>
      <c r="B15" s="221">
        <v>11</v>
      </c>
      <c r="C15" s="222" t="s">
        <v>517</v>
      </c>
      <c r="D15" s="223">
        <v>4634</v>
      </c>
      <c r="E15" s="216">
        <v>4252.5674255691774</v>
      </c>
      <c r="F15" s="216">
        <v>91.768826619964983</v>
      </c>
      <c r="G15" s="216">
        <v>0</v>
      </c>
      <c r="H15" s="216">
        <v>0</v>
      </c>
      <c r="I15" s="215">
        <v>350</v>
      </c>
      <c r="J15" s="215">
        <v>7.5528700906344408</v>
      </c>
      <c r="K15" s="215">
        <v>31.432574430822569</v>
      </c>
      <c r="L15" s="215">
        <v>0.67830328940057338</v>
      </c>
      <c r="M15" s="216">
        <v>0</v>
      </c>
      <c r="N15" s="216">
        <v>0</v>
      </c>
      <c r="O15" s="215">
        <v>0</v>
      </c>
      <c r="P15" s="215">
        <v>0</v>
      </c>
      <c r="Q15" s="215">
        <f t="shared" si="0"/>
        <v>4634</v>
      </c>
      <c r="R15" s="215">
        <f t="shared" si="1"/>
        <v>100</v>
      </c>
      <c r="S15" s="215">
        <f t="shared" si="2"/>
        <v>0</v>
      </c>
      <c r="T15" s="215">
        <f t="shared" si="3"/>
        <v>0</v>
      </c>
      <c r="U15" s="3"/>
      <c r="V15" s="217" t="s">
        <v>507</v>
      </c>
    </row>
    <row r="16" spans="1:22" s="218" customFormat="1" ht="12.75" customHeight="1" x14ac:dyDescent="0.2">
      <c r="A16" s="486"/>
      <c r="B16" s="221">
        <v>12</v>
      </c>
      <c r="C16" s="222" t="s">
        <v>518</v>
      </c>
      <c r="D16" s="223">
        <v>7639</v>
      </c>
      <c r="E16" s="216">
        <v>6468.1544202066589</v>
      </c>
      <c r="F16" s="216">
        <v>84.672789896670494</v>
      </c>
      <c r="G16" s="216">
        <v>0</v>
      </c>
      <c r="H16" s="216">
        <v>0</v>
      </c>
      <c r="I16" s="215">
        <v>844.84557979334113</v>
      </c>
      <c r="J16" s="215">
        <v>11.059635813500996</v>
      </c>
      <c r="K16" s="215">
        <v>326</v>
      </c>
      <c r="L16" s="215">
        <v>4.2675742898285112</v>
      </c>
      <c r="M16" s="216">
        <v>0</v>
      </c>
      <c r="N16" s="216">
        <v>0</v>
      </c>
      <c r="O16" s="215">
        <v>0</v>
      </c>
      <c r="P16" s="215">
        <v>0</v>
      </c>
      <c r="Q16" s="215">
        <f t="shared" si="0"/>
        <v>7639</v>
      </c>
      <c r="R16" s="215">
        <f t="shared" si="1"/>
        <v>100</v>
      </c>
      <c r="S16" s="215">
        <f t="shared" si="2"/>
        <v>0</v>
      </c>
      <c r="T16" s="215">
        <f t="shared" si="3"/>
        <v>0</v>
      </c>
      <c r="U16" s="3"/>
      <c r="V16" s="217" t="s">
        <v>507</v>
      </c>
    </row>
    <row r="17" spans="1:22" s="218" customFormat="1" ht="12.75" customHeight="1" x14ac:dyDescent="0.2">
      <c r="A17" s="486"/>
      <c r="B17" s="221">
        <v>13</v>
      </c>
      <c r="C17" s="222" t="s">
        <v>519</v>
      </c>
      <c r="D17" s="223">
        <v>4726</v>
      </c>
      <c r="E17" s="216">
        <v>3302.6096451319381</v>
      </c>
      <c r="F17" s="216">
        <v>69.881710646041867</v>
      </c>
      <c r="G17" s="216">
        <v>0</v>
      </c>
      <c r="H17" s="216">
        <v>0</v>
      </c>
      <c r="I17" s="215">
        <v>1423.3903548680619</v>
      </c>
      <c r="J17" s="215">
        <v>30.118289353958144</v>
      </c>
      <c r="K17" s="215">
        <v>0</v>
      </c>
      <c r="L17" s="215">
        <v>0</v>
      </c>
      <c r="M17" s="216">
        <v>0</v>
      </c>
      <c r="N17" s="216">
        <v>0</v>
      </c>
      <c r="O17" s="215">
        <v>0</v>
      </c>
      <c r="P17" s="215">
        <v>0</v>
      </c>
      <c r="Q17" s="215">
        <f t="shared" si="0"/>
        <v>4726</v>
      </c>
      <c r="R17" s="215">
        <f t="shared" si="1"/>
        <v>100</v>
      </c>
      <c r="S17" s="215">
        <f t="shared" si="2"/>
        <v>0</v>
      </c>
      <c r="T17" s="215">
        <f t="shared" si="3"/>
        <v>0</v>
      </c>
      <c r="U17" s="3"/>
      <c r="V17" s="217" t="s">
        <v>507</v>
      </c>
    </row>
    <row r="18" spans="1:22" s="218" customFormat="1" ht="12.75" customHeight="1" x14ac:dyDescent="0.2">
      <c r="A18" s="486"/>
      <c r="B18" s="221">
        <v>14</v>
      </c>
      <c r="C18" s="222" t="s">
        <v>520</v>
      </c>
      <c r="D18" s="223">
        <v>5455</v>
      </c>
      <c r="E18" s="216">
        <v>3698.0553679945983</v>
      </c>
      <c r="F18" s="216">
        <v>67.792032410533423</v>
      </c>
      <c r="G18" s="216">
        <v>0</v>
      </c>
      <c r="H18" s="216">
        <v>0</v>
      </c>
      <c r="I18" s="215">
        <v>1242</v>
      </c>
      <c r="J18" s="215">
        <v>22.768102658111825</v>
      </c>
      <c r="K18" s="215">
        <v>514.94463200540122</v>
      </c>
      <c r="L18" s="215">
        <v>9.4398649313547427</v>
      </c>
      <c r="M18" s="216">
        <v>0</v>
      </c>
      <c r="N18" s="216">
        <v>0</v>
      </c>
      <c r="O18" s="215">
        <v>0</v>
      </c>
      <c r="P18" s="215">
        <v>0</v>
      </c>
      <c r="Q18" s="215">
        <f t="shared" si="0"/>
        <v>5455</v>
      </c>
      <c r="R18" s="215">
        <f t="shared" si="1"/>
        <v>100</v>
      </c>
      <c r="S18" s="215">
        <f t="shared" si="2"/>
        <v>0</v>
      </c>
      <c r="T18" s="215">
        <f t="shared" si="3"/>
        <v>0</v>
      </c>
      <c r="U18" s="3"/>
      <c r="V18" s="217" t="s">
        <v>507</v>
      </c>
    </row>
    <row r="19" spans="1:22" s="218" customFormat="1" ht="12.75" customHeight="1" x14ac:dyDescent="0.2">
      <c r="A19" s="486"/>
      <c r="B19" s="221">
        <v>15</v>
      </c>
      <c r="C19" s="222" t="s">
        <v>521</v>
      </c>
      <c r="D19" s="223">
        <v>3655</v>
      </c>
      <c r="E19" s="216">
        <v>1910.6603773584905</v>
      </c>
      <c r="F19" s="216">
        <v>52.275249722530518</v>
      </c>
      <c r="G19" s="216">
        <v>0</v>
      </c>
      <c r="H19" s="216">
        <v>0</v>
      </c>
      <c r="I19" s="215">
        <v>1480.6603773584905</v>
      </c>
      <c r="J19" s="215">
        <v>40.510543840177576</v>
      </c>
      <c r="K19" s="215">
        <v>263.67924528301887</v>
      </c>
      <c r="L19" s="215">
        <v>7.2142064372918977</v>
      </c>
      <c r="M19" s="216">
        <v>0</v>
      </c>
      <c r="N19" s="216">
        <v>0</v>
      </c>
      <c r="O19" s="215">
        <v>0</v>
      </c>
      <c r="P19" s="215">
        <v>0</v>
      </c>
      <c r="Q19" s="215">
        <f t="shared" si="0"/>
        <v>3655</v>
      </c>
      <c r="R19" s="215">
        <f t="shared" si="1"/>
        <v>100</v>
      </c>
      <c r="S19" s="215">
        <f t="shared" si="2"/>
        <v>0</v>
      </c>
      <c r="T19" s="215">
        <f t="shared" si="3"/>
        <v>0</v>
      </c>
      <c r="U19" s="3"/>
      <c r="V19" s="217" t="s">
        <v>507</v>
      </c>
    </row>
    <row r="20" spans="1:22" ht="12.2" customHeight="1" x14ac:dyDescent="0.25">
      <c r="A20" s="469" t="s">
        <v>22</v>
      </c>
      <c r="B20" s="487" t="s">
        <v>23</v>
      </c>
      <c r="C20" s="487"/>
      <c r="D20" s="224">
        <f>SUM(D5:D19)</f>
        <v>53841</v>
      </c>
      <c r="E20" s="224">
        <f t="shared" ref="E20:S20" si="4">SUM(E5:E19)</f>
        <v>34942.031191850125</v>
      </c>
      <c r="F20" s="224">
        <f>E20/D20*100</f>
        <v>64.898555360877623</v>
      </c>
      <c r="G20" s="224">
        <f t="shared" si="4"/>
        <v>1511.9737194933227</v>
      </c>
      <c r="H20" s="224">
        <f>G20/D20*100</f>
        <v>2.8082199801142673</v>
      </c>
      <c r="I20" s="224">
        <f t="shared" si="4"/>
        <v>9403.5616630740406</v>
      </c>
      <c r="J20" s="224">
        <f>I20/D20*100</f>
        <v>17.465429065348044</v>
      </c>
      <c r="K20" s="224">
        <f t="shared" si="4"/>
        <v>5563.9416500475299</v>
      </c>
      <c r="L20" s="224">
        <f>K20/D20*100</f>
        <v>10.334023606633476</v>
      </c>
      <c r="M20" s="224">
        <f t="shared" si="4"/>
        <v>0</v>
      </c>
      <c r="N20" s="224">
        <f>M20/D20*100</f>
        <v>0</v>
      </c>
      <c r="O20" s="224">
        <f t="shared" si="4"/>
        <v>0</v>
      </c>
      <c r="P20" s="224">
        <f>O20/D20*100</f>
        <v>0</v>
      </c>
      <c r="Q20" s="224">
        <f t="shared" si="4"/>
        <v>51421.508224465018</v>
      </c>
      <c r="R20" s="224">
        <f t="shared" si="1"/>
        <v>95.506228012973409</v>
      </c>
      <c r="S20" s="224">
        <f t="shared" si="4"/>
        <v>2419.4917755349834</v>
      </c>
      <c r="T20" s="224">
        <f>S20/D20*100</f>
        <v>4.4937719870265846</v>
      </c>
      <c r="U20" s="225"/>
      <c r="V20" s="225"/>
    </row>
    <row r="21" spans="1:22" ht="12.2" customHeight="1" x14ac:dyDescent="0.25">
      <c r="A21" s="469" t="s">
        <v>24</v>
      </c>
      <c r="B21" s="470" t="s">
        <v>522</v>
      </c>
      <c r="C21" s="470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1"/>
      <c r="V21" s="1"/>
    </row>
    <row r="22" spans="1:22" s="218" customFormat="1" ht="12.75" customHeight="1" x14ac:dyDescent="0.2">
      <c r="A22" s="469" t="s">
        <v>24</v>
      </c>
      <c r="B22" s="3">
        <v>16</v>
      </c>
      <c r="C22" s="214" t="s">
        <v>523</v>
      </c>
      <c r="D22" s="215">
        <v>2319</v>
      </c>
      <c r="E22" s="216">
        <v>959.16753926701563</v>
      </c>
      <c r="F22" s="216">
        <v>41.361256544502616</v>
      </c>
      <c r="G22" s="216">
        <v>0</v>
      </c>
      <c r="H22" s="216">
        <v>0</v>
      </c>
      <c r="I22" s="215">
        <v>1019.8743455497381</v>
      </c>
      <c r="J22" s="215">
        <v>43.979057591623032</v>
      </c>
      <c r="K22" s="215">
        <v>141.64921465968587</v>
      </c>
      <c r="L22" s="215">
        <v>6.1082024432809776</v>
      </c>
      <c r="M22" s="216">
        <v>0</v>
      </c>
      <c r="N22" s="216">
        <v>0</v>
      </c>
      <c r="O22" s="215">
        <v>0</v>
      </c>
      <c r="P22" s="215">
        <v>0</v>
      </c>
      <c r="Q22" s="215">
        <f t="shared" ref="Q22:Q30" si="5">E22+G22+I22+K22+M22+O22</f>
        <v>2120.6910994764394</v>
      </c>
      <c r="R22" s="215">
        <f t="shared" ref="R22:R31" si="6">Q22/D22*100</f>
        <v>91.448516579406615</v>
      </c>
      <c r="S22" s="215">
        <f t="shared" ref="S22:S30" si="7">D22-Q22</f>
        <v>198.30890052356062</v>
      </c>
      <c r="T22" s="215">
        <f t="shared" ref="T22:T30" si="8">100-(F22+H22+J22+L22+N22+P22)</f>
        <v>8.5514834205933852</v>
      </c>
      <c r="U22" s="217" t="s">
        <v>507</v>
      </c>
      <c r="V22" s="2"/>
    </row>
    <row r="23" spans="1:22" s="218" customFormat="1" ht="12.4" customHeight="1" x14ac:dyDescent="0.2">
      <c r="A23" s="469" t="s">
        <v>24</v>
      </c>
      <c r="B23" s="3">
        <v>17</v>
      </c>
      <c r="C23" s="214" t="s">
        <v>524</v>
      </c>
      <c r="D23" s="215">
        <v>2126</v>
      </c>
      <c r="E23" s="216">
        <v>769.82739212007505</v>
      </c>
      <c r="F23" s="216">
        <v>36.210131332082554</v>
      </c>
      <c r="G23" s="216">
        <v>0</v>
      </c>
      <c r="H23" s="216">
        <v>0</v>
      </c>
      <c r="I23" s="215">
        <v>690.05253283302068</v>
      </c>
      <c r="J23" s="215">
        <v>32.457786116322701</v>
      </c>
      <c r="K23" s="215">
        <v>492</v>
      </c>
      <c r="L23" s="215">
        <v>23.142050799623707</v>
      </c>
      <c r="M23" s="216">
        <v>0</v>
      </c>
      <c r="N23" s="216">
        <v>0</v>
      </c>
      <c r="O23" s="215">
        <v>0</v>
      </c>
      <c r="P23" s="215">
        <v>0</v>
      </c>
      <c r="Q23" s="215">
        <f t="shared" si="5"/>
        <v>1951.8799249530957</v>
      </c>
      <c r="R23" s="215">
        <f t="shared" si="6"/>
        <v>91.809968248028966</v>
      </c>
      <c r="S23" s="215">
        <f t="shared" si="7"/>
        <v>174.12007504690428</v>
      </c>
      <c r="T23" s="215">
        <f t="shared" si="8"/>
        <v>8.1900317519710342</v>
      </c>
      <c r="U23" s="217" t="s">
        <v>507</v>
      </c>
      <c r="V23" s="2"/>
    </row>
    <row r="24" spans="1:22" s="218" customFormat="1" ht="12.6" customHeight="1" x14ac:dyDescent="0.2">
      <c r="A24" s="469" t="s">
        <v>24</v>
      </c>
      <c r="B24" s="3">
        <v>18</v>
      </c>
      <c r="C24" s="214" t="s">
        <v>525</v>
      </c>
      <c r="D24" s="215">
        <v>1879</v>
      </c>
      <c r="E24" s="216">
        <v>1259.1639004149376</v>
      </c>
      <c r="F24" s="216">
        <v>67.012448132780079</v>
      </c>
      <c r="G24" s="216">
        <v>0</v>
      </c>
      <c r="H24" s="216">
        <v>0</v>
      </c>
      <c r="I24" s="215">
        <v>565.25933609958508</v>
      </c>
      <c r="J24" s="215">
        <v>30.08298755186722</v>
      </c>
      <c r="K24" s="215">
        <v>0</v>
      </c>
      <c r="L24" s="215">
        <v>0</v>
      </c>
      <c r="M24" s="216">
        <v>0</v>
      </c>
      <c r="N24" s="216">
        <v>0</v>
      </c>
      <c r="O24" s="215">
        <v>0</v>
      </c>
      <c r="P24" s="215">
        <v>0</v>
      </c>
      <c r="Q24" s="215">
        <f t="shared" si="5"/>
        <v>1824.4232365145226</v>
      </c>
      <c r="R24" s="215">
        <f t="shared" si="6"/>
        <v>97.095435684647285</v>
      </c>
      <c r="S24" s="215">
        <f t="shared" si="7"/>
        <v>54.576763485477386</v>
      </c>
      <c r="T24" s="215">
        <f t="shared" si="8"/>
        <v>2.904564315352701</v>
      </c>
      <c r="U24" s="3"/>
      <c r="V24" s="217" t="s">
        <v>507</v>
      </c>
    </row>
    <row r="25" spans="1:22" s="218" customFormat="1" ht="12.4" customHeight="1" x14ac:dyDescent="0.2">
      <c r="A25" s="469" t="s">
        <v>24</v>
      </c>
      <c r="B25" s="3">
        <v>19</v>
      </c>
      <c r="C25" s="214" t="s">
        <v>526</v>
      </c>
      <c r="D25" s="215">
        <v>1491</v>
      </c>
      <c r="E25" s="216">
        <v>465.44444444444446</v>
      </c>
      <c r="F25" s="216">
        <v>31.216931216931215</v>
      </c>
      <c r="G25" s="216">
        <v>524.61111111111109</v>
      </c>
      <c r="H25" s="216">
        <v>35.185185185185183</v>
      </c>
      <c r="I25" s="215">
        <v>118.33333333333334</v>
      </c>
      <c r="J25" s="215">
        <v>7.9365079365079376</v>
      </c>
      <c r="K25" s="215">
        <v>0</v>
      </c>
      <c r="L25" s="215">
        <v>0</v>
      </c>
      <c r="M25" s="216">
        <v>0</v>
      </c>
      <c r="N25" s="216">
        <v>0</v>
      </c>
      <c r="O25" s="215">
        <v>295.83333333333337</v>
      </c>
      <c r="P25" s="215">
        <v>19.841269841269842</v>
      </c>
      <c r="Q25" s="215">
        <f t="shared" si="5"/>
        <v>1404.2222222222222</v>
      </c>
      <c r="R25" s="215">
        <f t="shared" si="6"/>
        <v>94.179894179894177</v>
      </c>
      <c r="S25" s="215">
        <f t="shared" si="7"/>
        <v>86.777777777777828</v>
      </c>
      <c r="T25" s="215">
        <f t="shared" si="8"/>
        <v>5.8201058201058231</v>
      </c>
      <c r="U25" s="217" t="s">
        <v>507</v>
      </c>
      <c r="V25" s="2"/>
    </row>
    <row r="26" spans="1:22" s="218" customFormat="1" ht="12.75" customHeight="1" x14ac:dyDescent="0.2">
      <c r="A26" s="469" t="s">
        <v>24</v>
      </c>
      <c r="B26" s="3">
        <v>20</v>
      </c>
      <c r="C26" s="214" t="s">
        <v>527</v>
      </c>
      <c r="D26" s="215">
        <v>3452</v>
      </c>
      <c r="E26" s="216">
        <v>2880.8970588235293</v>
      </c>
      <c r="F26" s="216">
        <v>83.455882352941174</v>
      </c>
      <c r="G26" s="216">
        <v>190.36764705882354</v>
      </c>
      <c r="H26" s="216">
        <v>5.514705882352942</v>
      </c>
      <c r="I26" s="215">
        <v>198.82843137254903</v>
      </c>
      <c r="J26" s="215">
        <v>5.7598039215686274</v>
      </c>
      <c r="K26" s="215">
        <v>16.921568627450981</v>
      </c>
      <c r="L26" s="215">
        <v>0.49019607843137253</v>
      </c>
      <c r="M26" s="216">
        <v>0</v>
      </c>
      <c r="N26" s="216">
        <v>0</v>
      </c>
      <c r="O26" s="215">
        <v>0</v>
      </c>
      <c r="P26" s="215">
        <v>0</v>
      </c>
      <c r="Q26" s="215">
        <f t="shared" si="5"/>
        <v>3287.0147058823527</v>
      </c>
      <c r="R26" s="215">
        <f t="shared" si="6"/>
        <v>95.220588235294116</v>
      </c>
      <c r="S26" s="215">
        <f t="shared" si="7"/>
        <v>164.9852941176473</v>
      </c>
      <c r="T26" s="215">
        <f t="shared" si="8"/>
        <v>4.779411764705884</v>
      </c>
      <c r="U26" s="217" t="s">
        <v>507</v>
      </c>
      <c r="V26" s="2"/>
    </row>
    <row r="27" spans="1:22" s="218" customFormat="1" ht="12.75" customHeight="1" x14ac:dyDescent="0.2">
      <c r="A27" s="469"/>
      <c r="B27" s="3">
        <v>21</v>
      </c>
      <c r="C27" s="214" t="s">
        <v>528</v>
      </c>
      <c r="D27" s="215">
        <v>1780</v>
      </c>
      <c r="E27" s="216">
        <v>1064.0444444444445</v>
      </c>
      <c r="F27" s="216">
        <v>59.777777777777786</v>
      </c>
      <c r="G27" s="216">
        <v>0</v>
      </c>
      <c r="H27" s="216">
        <v>0</v>
      </c>
      <c r="I27" s="215">
        <v>209.64444444444445</v>
      </c>
      <c r="J27" s="215">
        <v>11.777777777777777</v>
      </c>
      <c r="K27" s="215">
        <v>427</v>
      </c>
      <c r="L27" s="215">
        <v>23.988764044943821</v>
      </c>
      <c r="M27" s="216">
        <v>0</v>
      </c>
      <c r="N27" s="216">
        <v>0</v>
      </c>
      <c r="O27" s="215">
        <v>0</v>
      </c>
      <c r="P27" s="215">
        <v>0</v>
      </c>
      <c r="Q27" s="215">
        <f t="shared" si="5"/>
        <v>1700.6888888888889</v>
      </c>
      <c r="R27" s="215">
        <f t="shared" si="6"/>
        <v>95.544319600499378</v>
      </c>
      <c r="S27" s="215">
        <f t="shared" si="7"/>
        <v>79.311111111111131</v>
      </c>
      <c r="T27" s="215">
        <f t="shared" si="8"/>
        <v>4.455680399500622</v>
      </c>
      <c r="U27" s="217" t="s">
        <v>507</v>
      </c>
      <c r="V27" s="2"/>
    </row>
    <row r="28" spans="1:22" s="218" customFormat="1" ht="12.75" customHeight="1" x14ac:dyDescent="0.2">
      <c r="A28" s="469"/>
      <c r="B28" s="3">
        <v>22</v>
      </c>
      <c r="C28" s="214" t="s">
        <v>529</v>
      </c>
      <c r="D28" s="215">
        <v>909</v>
      </c>
      <c r="E28" s="216">
        <v>0</v>
      </c>
      <c r="F28" s="216">
        <v>0</v>
      </c>
      <c r="G28" s="216">
        <v>0</v>
      </c>
      <c r="H28" s="216">
        <v>0</v>
      </c>
      <c r="I28" s="215">
        <v>0</v>
      </c>
      <c r="J28" s="215">
        <v>0</v>
      </c>
      <c r="K28" s="215">
        <v>874.87372013651884</v>
      </c>
      <c r="L28" s="215">
        <v>96.24573378839591</v>
      </c>
      <c r="M28" s="216">
        <v>0</v>
      </c>
      <c r="N28" s="216">
        <v>0</v>
      </c>
      <c r="O28" s="215">
        <v>0</v>
      </c>
      <c r="P28" s="215">
        <v>0</v>
      </c>
      <c r="Q28" s="215">
        <f t="shared" si="5"/>
        <v>874.87372013651884</v>
      </c>
      <c r="R28" s="215">
        <f t="shared" si="6"/>
        <v>96.24573378839591</v>
      </c>
      <c r="S28" s="215">
        <f t="shared" si="7"/>
        <v>34.126279863481159</v>
      </c>
      <c r="T28" s="215">
        <f t="shared" si="8"/>
        <v>3.7542662116040901</v>
      </c>
      <c r="U28" s="217" t="s">
        <v>507</v>
      </c>
      <c r="V28" s="2"/>
    </row>
    <row r="29" spans="1:22" s="218" customFormat="1" ht="12.75" customHeight="1" x14ac:dyDescent="0.2">
      <c r="A29" s="469"/>
      <c r="B29" s="3">
        <v>23</v>
      </c>
      <c r="C29" s="214" t="s">
        <v>530</v>
      </c>
      <c r="D29" s="215">
        <v>1102</v>
      </c>
      <c r="E29" s="216">
        <v>0</v>
      </c>
      <c r="F29" s="216">
        <v>0</v>
      </c>
      <c r="G29" s="216">
        <v>1102</v>
      </c>
      <c r="H29" s="216">
        <v>100</v>
      </c>
      <c r="I29" s="215">
        <v>0</v>
      </c>
      <c r="J29" s="215">
        <v>0</v>
      </c>
      <c r="K29" s="215">
        <v>0</v>
      </c>
      <c r="L29" s="215">
        <v>0</v>
      </c>
      <c r="M29" s="216">
        <v>0</v>
      </c>
      <c r="N29" s="216">
        <v>0</v>
      </c>
      <c r="O29" s="215">
        <v>0</v>
      </c>
      <c r="P29" s="215">
        <v>0</v>
      </c>
      <c r="Q29" s="215">
        <f t="shared" si="5"/>
        <v>1102</v>
      </c>
      <c r="R29" s="215">
        <f t="shared" si="6"/>
        <v>100</v>
      </c>
      <c r="S29" s="215">
        <f t="shared" si="7"/>
        <v>0</v>
      </c>
      <c r="T29" s="215">
        <f t="shared" si="8"/>
        <v>0</v>
      </c>
      <c r="U29" s="217" t="s">
        <v>507</v>
      </c>
      <c r="V29" s="2"/>
    </row>
    <row r="30" spans="1:22" s="218" customFormat="1" ht="12.75" customHeight="1" x14ac:dyDescent="0.2">
      <c r="A30" s="469"/>
      <c r="B30" s="3">
        <v>24</v>
      </c>
      <c r="C30" s="214" t="s">
        <v>531</v>
      </c>
      <c r="D30" s="215">
        <v>749</v>
      </c>
      <c r="E30" s="216">
        <v>0</v>
      </c>
      <c r="F30" s="216">
        <v>0</v>
      </c>
      <c r="G30" s="216">
        <v>608.5625</v>
      </c>
      <c r="H30" s="216">
        <v>81.25</v>
      </c>
      <c r="I30" s="215">
        <v>0</v>
      </c>
      <c r="J30" s="215">
        <v>0</v>
      </c>
      <c r="K30" s="215">
        <v>0</v>
      </c>
      <c r="L30" s="215">
        <v>0</v>
      </c>
      <c r="M30" s="216">
        <v>0</v>
      </c>
      <c r="N30" s="216">
        <v>0</v>
      </c>
      <c r="O30" s="215">
        <v>82.822115384615387</v>
      </c>
      <c r="P30" s="215">
        <v>11.057692307692308</v>
      </c>
      <c r="Q30" s="215">
        <f t="shared" si="5"/>
        <v>691.38461538461536</v>
      </c>
      <c r="R30" s="215">
        <f t="shared" si="6"/>
        <v>92.307692307692307</v>
      </c>
      <c r="S30" s="215">
        <f t="shared" si="7"/>
        <v>57.615384615384642</v>
      </c>
      <c r="T30" s="215">
        <f t="shared" si="8"/>
        <v>7.6923076923076934</v>
      </c>
      <c r="U30" s="217" t="s">
        <v>507</v>
      </c>
      <c r="V30" s="2"/>
    </row>
    <row r="31" spans="1:22" ht="12.2" customHeight="1" x14ac:dyDescent="0.25">
      <c r="A31" s="469" t="s">
        <v>24</v>
      </c>
      <c r="B31" s="471" t="s">
        <v>23</v>
      </c>
      <c r="C31" s="471"/>
      <c r="D31" s="224">
        <f>SUM(D22:D30)</f>
        <v>15807</v>
      </c>
      <c r="E31" s="224">
        <f t="shared" ref="E31:S31" si="9">SUM(E22:E30)</f>
        <v>7398.5447795144473</v>
      </c>
      <c r="F31" s="224">
        <f>E31/D31*100</f>
        <v>46.805496169510008</v>
      </c>
      <c r="G31" s="224">
        <f t="shared" si="9"/>
        <v>2425.5412581699347</v>
      </c>
      <c r="H31" s="224">
        <f>G31/D31*100</f>
        <v>15.344728652938159</v>
      </c>
      <c r="I31" s="224">
        <f t="shared" si="9"/>
        <v>2801.992423632671</v>
      </c>
      <c r="J31" s="224">
        <f>I31/D31*100</f>
        <v>17.726275850146585</v>
      </c>
      <c r="K31" s="224">
        <f t="shared" si="9"/>
        <v>1952.4445034236555</v>
      </c>
      <c r="L31" s="224">
        <f>K31/D31*100</f>
        <v>12.351771388774944</v>
      </c>
      <c r="M31" s="224">
        <f t="shared" si="9"/>
        <v>0</v>
      </c>
      <c r="N31" s="224">
        <f>M31/D31*100</f>
        <v>0</v>
      </c>
      <c r="O31" s="224">
        <f t="shared" si="9"/>
        <v>378.65544871794873</v>
      </c>
      <c r="P31" s="224">
        <f>O31/D31*100</f>
        <v>2.3954921788951018</v>
      </c>
      <c r="Q31" s="224">
        <f t="shared" si="9"/>
        <v>14957.178413458654</v>
      </c>
      <c r="R31" s="224">
        <f t="shared" si="6"/>
        <v>94.623764240264791</v>
      </c>
      <c r="S31" s="224">
        <f t="shared" si="9"/>
        <v>849.82158654134435</v>
      </c>
      <c r="T31" s="224">
        <f>S31/D31*100</f>
        <v>5.3762357597352084</v>
      </c>
      <c r="U31" s="225"/>
      <c r="V31" s="225"/>
    </row>
    <row r="32" spans="1:22" ht="12.2" customHeight="1" x14ac:dyDescent="0.25">
      <c r="A32" s="469" t="s">
        <v>532</v>
      </c>
      <c r="B32" s="470" t="s">
        <v>533</v>
      </c>
      <c r="C32" s="470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1"/>
      <c r="V32" s="1"/>
    </row>
    <row r="33" spans="1:22" s="218" customFormat="1" ht="12.75" customHeight="1" x14ac:dyDescent="0.2">
      <c r="A33" s="469" t="s">
        <v>532</v>
      </c>
      <c r="B33" s="3">
        <v>25</v>
      </c>
      <c r="C33" s="214" t="s">
        <v>534</v>
      </c>
      <c r="D33" s="215">
        <v>1476</v>
      </c>
      <c r="E33" s="216">
        <v>914.70422535211264</v>
      </c>
      <c r="F33" s="216">
        <v>61.971830985915489</v>
      </c>
      <c r="G33" s="216">
        <v>0</v>
      </c>
      <c r="H33" s="216">
        <v>0</v>
      </c>
      <c r="I33" s="215">
        <v>441</v>
      </c>
      <c r="J33" s="215">
        <v>29.878048780487802</v>
      </c>
      <c r="K33" s="215">
        <v>0</v>
      </c>
      <c r="L33" s="215">
        <v>0</v>
      </c>
      <c r="M33" s="216">
        <v>0</v>
      </c>
      <c r="N33" s="216">
        <v>0</v>
      </c>
      <c r="O33" s="215">
        <v>0</v>
      </c>
      <c r="P33" s="215">
        <v>0</v>
      </c>
      <c r="Q33" s="215">
        <f t="shared" ref="Q33:Q38" si="10">E33+G33+I33+K33+M33+O33</f>
        <v>1355.7042253521126</v>
      </c>
      <c r="R33" s="215">
        <f t="shared" ref="R33:R39" si="11">Q33/D33*100</f>
        <v>91.849879766403291</v>
      </c>
      <c r="S33" s="215">
        <f t="shared" ref="S33:S38" si="12">D33-Q33</f>
        <v>120.29577464788736</v>
      </c>
      <c r="T33" s="215">
        <f t="shared" ref="T33:T38" si="13">100-(F33+H33+J33+L33+N33+P33)</f>
        <v>8.1501202335967093</v>
      </c>
      <c r="U33" s="217" t="s">
        <v>507</v>
      </c>
      <c r="V33" s="2"/>
    </row>
    <row r="34" spans="1:22" s="218" customFormat="1" ht="12.6" customHeight="1" x14ac:dyDescent="0.2">
      <c r="A34" s="469" t="s">
        <v>532</v>
      </c>
      <c r="B34" s="3">
        <v>26</v>
      </c>
      <c r="C34" s="214" t="s">
        <v>535</v>
      </c>
      <c r="D34" s="215">
        <v>1438</v>
      </c>
      <c r="E34" s="216">
        <v>654.25592417061614</v>
      </c>
      <c r="F34" s="216">
        <v>45.497630331753555</v>
      </c>
      <c r="G34" s="216">
        <v>0</v>
      </c>
      <c r="H34" s="216">
        <v>0</v>
      </c>
      <c r="I34" s="215">
        <v>739.44549763033172</v>
      </c>
      <c r="J34" s="215">
        <v>51.42180094786729</v>
      </c>
      <c r="K34" s="215">
        <v>0</v>
      </c>
      <c r="L34" s="215">
        <v>0</v>
      </c>
      <c r="M34" s="216">
        <v>0</v>
      </c>
      <c r="N34" s="216">
        <v>0</v>
      </c>
      <c r="O34" s="215">
        <v>0</v>
      </c>
      <c r="P34" s="215">
        <v>0</v>
      </c>
      <c r="Q34" s="215">
        <f t="shared" si="10"/>
        <v>1393.7014218009479</v>
      </c>
      <c r="R34" s="215">
        <f t="shared" si="11"/>
        <v>96.919431279620852</v>
      </c>
      <c r="S34" s="215">
        <f t="shared" si="12"/>
        <v>44.298578199052145</v>
      </c>
      <c r="T34" s="215">
        <f t="shared" si="13"/>
        <v>3.0805687203791479</v>
      </c>
      <c r="U34" s="217" t="s">
        <v>507</v>
      </c>
      <c r="V34" s="2"/>
    </row>
    <row r="35" spans="1:22" s="218" customFormat="1" ht="12.4" customHeight="1" x14ac:dyDescent="0.2">
      <c r="A35" s="469" t="s">
        <v>532</v>
      </c>
      <c r="B35" s="3">
        <v>27</v>
      </c>
      <c r="C35" s="214" t="s">
        <v>536</v>
      </c>
      <c r="D35" s="215">
        <v>866</v>
      </c>
      <c r="E35" s="216">
        <v>866</v>
      </c>
      <c r="F35" s="216">
        <v>100</v>
      </c>
      <c r="G35" s="216">
        <v>0</v>
      </c>
      <c r="H35" s="216">
        <v>0</v>
      </c>
      <c r="I35" s="215">
        <v>0</v>
      </c>
      <c r="J35" s="215">
        <v>0</v>
      </c>
      <c r="K35" s="215">
        <v>0</v>
      </c>
      <c r="L35" s="215">
        <v>0</v>
      </c>
      <c r="M35" s="216">
        <v>0</v>
      </c>
      <c r="N35" s="216">
        <v>0</v>
      </c>
      <c r="O35" s="215">
        <v>0</v>
      </c>
      <c r="P35" s="215">
        <v>0</v>
      </c>
      <c r="Q35" s="215">
        <f t="shared" si="10"/>
        <v>866</v>
      </c>
      <c r="R35" s="215">
        <f t="shared" si="11"/>
        <v>100</v>
      </c>
      <c r="S35" s="215">
        <f t="shared" si="12"/>
        <v>0</v>
      </c>
      <c r="T35" s="215">
        <f t="shared" si="13"/>
        <v>0</v>
      </c>
      <c r="U35" s="217" t="s">
        <v>507</v>
      </c>
      <c r="V35" s="2"/>
    </row>
    <row r="36" spans="1:22" s="218" customFormat="1" ht="12.6" customHeight="1" x14ac:dyDescent="0.2">
      <c r="A36" s="469" t="s">
        <v>532</v>
      </c>
      <c r="B36" s="3">
        <v>28</v>
      </c>
      <c r="C36" s="214" t="s">
        <v>537</v>
      </c>
      <c r="D36" s="215">
        <v>402</v>
      </c>
      <c r="E36" s="216">
        <v>0</v>
      </c>
      <c r="F36" s="216">
        <v>0</v>
      </c>
      <c r="G36" s="216">
        <v>402</v>
      </c>
      <c r="H36" s="216">
        <v>100</v>
      </c>
      <c r="I36" s="215">
        <v>0</v>
      </c>
      <c r="J36" s="215">
        <v>0</v>
      </c>
      <c r="K36" s="215">
        <v>0</v>
      </c>
      <c r="L36" s="215">
        <v>0</v>
      </c>
      <c r="M36" s="216">
        <v>0</v>
      </c>
      <c r="N36" s="216">
        <v>0</v>
      </c>
      <c r="O36" s="215">
        <v>0</v>
      </c>
      <c r="P36" s="215">
        <v>0</v>
      </c>
      <c r="Q36" s="215">
        <f t="shared" si="10"/>
        <v>402</v>
      </c>
      <c r="R36" s="215">
        <f t="shared" si="11"/>
        <v>100</v>
      </c>
      <c r="S36" s="215">
        <f t="shared" si="12"/>
        <v>0</v>
      </c>
      <c r="T36" s="215">
        <f t="shared" si="13"/>
        <v>0</v>
      </c>
      <c r="U36" s="217" t="s">
        <v>507</v>
      </c>
      <c r="V36" s="2"/>
    </row>
    <row r="37" spans="1:22" s="218" customFormat="1" ht="12.6" customHeight="1" x14ac:dyDescent="0.2">
      <c r="A37" s="469" t="s">
        <v>532</v>
      </c>
      <c r="B37" s="3">
        <v>29</v>
      </c>
      <c r="C37" s="214" t="s">
        <v>538</v>
      </c>
      <c r="D37" s="215">
        <v>1440</v>
      </c>
      <c r="E37" s="216">
        <v>577.46192893401007</v>
      </c>
      <c r="F37" s="216">
        <v>40.101522842639589</v>
      </c>
      <c r="G37" s="216">
        <v>0</v>
      </c>
      <c r="H37" s="216">
        <v>0</v>
      </c>
      <c r="I37" s="215">
        <v>862.53807106598981</v>
      </c>
      <c r="J37" s="215">
        <v>59.898477157360411</v>
      </c>
      <c r="K37" s="215">
        <v>0</v>
      </c>
      <c r="L37" s="215">
        <v>0</v>
      </c>
      <c r="M37" s="216">
        <v>0</v>
      </c>
      <c r="N37" s="216">
        <v>0</v>
      </c>
      <c r="O37" s="215">
        <v>0</v>
      </c>
      <c r="P37" s="215">
        <v>0</v>
      </c>
      <c r="Q37" s="215">
        <f t="shared" si="10"/>
        <v>1440</v>
      </c>
      <c r="R37" s="215">
        <f t="shared" si="11"/>
        <v>100</v>
      </c>
      <c r="S37" s="215">
        <f t="shared" si="12"/>
        <v>0</v>
      </c>
      <c r="T37" s="215">
        <f t="shared" si="13"/>
        <v>0</v>
      </c>
      <c r="U37" s="217" t="s">
        <v>507</v>
      </c>
      <c r="V37" s="2"/>
    </row>
    <row r="38" spans="1:22" s="218" customFormat="1" ht="12.4" customHeight="1" x14ac:dyDescent="0.2">
      <c r="A38" s="469" t="s">
        <v>532</v>
      </c>
      <c r="B38" s="3">
        <v>30</v>
      </c>
      <c r="C38" s="214" t="s">
        <v>539</v>
      </c>
      <c r="D38" s="215">
        <v>1058</v>
      </c>
      <c r="E38" s="216">
        <v>381.7525773195876</v>
      </c>
      <c r="F38" s="216">
        <v>36.082474226804123</v>
      </c>
      <c r="G38" s="216">
        <v>676.24742268041234</v>
      </c>
      <c r="H38" s="216">
        <v>63.917525773195869</v>
      </c>
      <c r="I38" s="215">
        <v>0</v>
      </c>
      <c r="J38" s="215">
        <v>0</v>
      </c>
      <c r="K38" s="215">
        <v>0</v>
      </c>
      <c r="L38" s="215">
        <v>0</v>
      </c>
      <c r="M38" s="216">
        <v>0</v>
      </c>
      <c r="N38" s="216">
        <v>0</v>
      </c>
      <c r="O38" s="215">
        <v>0</v>
      </c>
      <c r="P38" s="215">
        <v>0</v>
      </c>
      <c r="Q38" s="215">
        <f t="shared" si="10"/>
        <v>1058</v>
      </c>
      <c r="R38" s="215">
        <f t="shared" si="11"/>
        <v>100</v>
      </c>
      <c r="S38" s="215">
        <f t="shared" si="12"/>
        <v>0</v>
      </c>
      <c r="T38" s="215">
        <f t="shared" si="13"/>
        <v>0</v>
      </c>
      <c r="U38" s="217" t="s">
        <v>507</v>
      </c>
      <c r="V38" s="2"/>
    </row>
    <row r="39" spans="1:22" ht="12" customHeight="1" x14ac:dyDescent="0.25">
      <c r="A39" s="469" t="s">
        <v>532</v>
      </c>
      <c r="B39" s="471" t="s">
        <v>23</v>
      </c>
      <c r="C39" s="471"/>
      <c r="D39" s="224">
        <f>SUM(D33:D38)</f>
        <v>6680</v>
      </c>
      <c r="E39" s="224">
        <f t="shared" ref="E39:S39" si="14">SUM(E33:E38)</f>
        <v>3394.1746557763263</v>
      </c>
      <c r="F39" s="224">
        <f>E39/D39*100</f>
        <v>50.810997840962969</v>
      </c>
      <c r="G39" s="224">
        <f t="shared" si="14"/>
        <v>1078.2474226804125</v>
      </c>
      <c r="H39" s="224">
        <f>G39/D39*100</f>
        <v>16.141428483239707</v>
      </c>
      <c r="I39" s="224">
        <f t="shared" si="14"/>
        <v>2042.9835686963215</v>
      </c>
      <c r="J39" s="224">
        <f>I39/D39*100</f>
        <v>30.583586357729363</v>
      </c>
      <c r="K39" s="224">
        <f t="shared" si="14"/>
        <v>0</v>
      </c>
      <c r="L39" s="224">
        <f>K39/D39*100</f>
        <v>0</v>
      </c>
      <c r="M39" s="224">
        <f t="shared" si="14"/>
        <v>0</v>
      </c>
      <c r="N39" s="224">
        <f>M39/D39*100</f>
        <v>0</v>
      </c>
      <c r="O39" s="224">
        <f t="shared" si="14"/>
        <v>0</v>
      </c>
      <c r="P39" s="224">
        <f>O39/D39*100</f>
        <v>0</v>
      </c>
      <c r="Q39" s="224">
        <f t="shared" si="14"/>
        <v>6515.4056471530603</v>
      </c>
      <c r="R39" s="224">
        <f t="shared" si="11"/>
        <v>97.536012681932036</v>
      </c>
      <c r="S39" s="224">
        <f t="shared" si="14"/>
        <v>164.5943528469395</v>
      </c>
      <c r="T39" s="224">
        <f>S39/D39*100</f>
        <v>2.4639873180679563</v>
      </c>
      <c r="U39" s="225"/>
      <c r="V39" s="225"/>
    </row>
    <row r="40" spans="1:22" ht="12.2" customHeight="1" x14ac:dyDescent="0.25">
      <c r="A40" s="488">
        <v>4</v>
      </c>
      <c r="B40" s="470" t="s">
        <v>540</v>
      </c>
      <c r="C40" s="470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1"/>
      <c r="V40" s="1"/>
    </row>
    <row r="41" spans="1:22" s="229" customFormat="1" ht="12" customHeight="1" x14ac:dyDescent="0.2">
      <c r="A41" s="489"/>
      <c r="B41" s="33">
        <v>31</v>
      </c>
      <c r="C41" s="214" t="s">
        <v>380</v>
      </c>
      <c r="D41" s="227">
        <v>2861</v>
      </c>
      <c r="E41" s="216">
        <v>721.61721068249267</v>
      </c>
      <c r="F41" s="216">
        <v>25.222551928783389</v>
      </c>
      <c r="G41" s="216">
        <v>836.22700296735911</v>
      </c>
      <c r="H41" s="216">
        <v>29.228486646884278</v>
      </c>
      <c r="I41" s="215">
        <v>195.2611275964392</v>
      </c>
      <c r="J41" s="215">
        <v>6.8249258160237396</v>
      </c>
      <c r="K41" s="215">
        <v>941</v>
      </c>
      <c r="L41" s="215">
        <v>32.890597693114294</v>
      </c>
      <c r="M41" s="216">
        <v>0</v>
      </c>
      <c r="N41" s="216">
        <v>0</v>
      </c>
      <c r="O41" s="215">
        <v>0</v>
      </c>
      <c r="P41" s="215">
        <v>0</v>
      </c>
      <c r="Q41" s="215">
        <f>E41+G41+I41+K41+M41+O41</f>
        <v>2694.1053412462907</v>
      </c>
      <c r="R41" s="215">
        <f>Q41/D41*100</f>
        <v>94.166562084805676</v>
      </c>
      <c r="S41" s="215">
        <f>D41-Q41</f>
        <v>166.89465875370934</v>
      </c>
      <c r="T41" s="215">
        <f>100-(F41+H41+J41+L41+N41+P41)</f>
        <v>5.8334379151943097</v>
      </c>
      <c r="U41" s="217" t="s">
        <v>507</v>
      </c>
      <c r="V41" s="228"/>
    </row>
    <row r="42" spans="1:22" s="229" customFormat="1" ht="12" customHeight="1" x14ac:dyDescent="0.2">
      <c r="A42" s="489"/>
      <c r="B42" s="33">
        <v>32</v>
      </c>
      <c r="C42" s="214" t="s">
        <v>541</v>
      </c>
      <c r="D42" s="227">
        <v>3609</v>
      </c>
      <c r="E42" s="216">
        <v>1107.4828326180257</v>
      </c>
      <c r="F42" s="216">
        <v>30.686695278969957</v>
      </c>
      <c r="G42" s="216">
        <v>348.50858369098711</v>
      </c>
      <c r="H42" s="216">
        <v>9.6566523605150216</v>
      </c>
      <c r="I42" s="215">
        <v>205.23283261802575</v>
      </c>
      <c r="J42" s="215">
        <v>5.6866952789699567</v>
      </c>
      <c r="K42" s="215">
        <v>1920.6695278969958</v>
      </c>
      <c r="L42" s="215">
        <v>53.218884120171673</v>
      </c>
      <c r="M42" s="216">
        <v>0</v>
      </c>
      <c r="N42" s="216">
        <v>0</v>
      </c>
      <c r="O42" s="215">
        <v>0</v>
      </c>
      <c r="P42" s="215">
        <v>0</v>
      </c>
      <c r="Q42" s="215">
        <f>E42+G42+I42+K42+M42+O42</f>
        <v>3581.8937768240339</v>
      </c>
      <c r="R42" s="215">
        <f>Q42/D42*100</f>
        <v>99.248927038626604</v>
      </c>
      <c r="S42" s="215">
        <f>D42-Q42</f>
        <v>27.106223175966079</v>
      </c>
      <c r="T42" s="215">
        <f>100-(F42+H42+J42+L42+N42+P42)</f>
        <v>0.75107296137339574</v>
      </c>
      <c r="U42" s="217" t="s">
        <v>507</v>
      </c>
      <c r="V42" s="228"/>
    </row>
    <row r="43" spans="1:22" s="229" customFormat="1" ht="12" customHeight="1" x14ac:dyDescent="0.2">
      <c r="A43" s="489"/>
      <c r="B43" s="33">
        <v>33</v>
      </c>
      <c r="C43" s="214" t="s">
        <v>542</v>
      </c>
      <c r="D43" s="227">
        <v>1763</v>
      </c>
      <c r="E43" s="216">
        <v>79.773755656108591</v>
      </c>
      <c r="F43" s="216">
        <v>4.5248868778280542</v>
      </c>
      <c r="G43" s="216">
        <v>79.773755656108591</v>
      </c>
      <c r="H43" s="216">
        <v>4.5248868778280542</v>
      </c>
      <c r="I43" s="215">
        <v>0</v>
      </c>
      <c r="J43" s="215">
        <v>0</v>
      </c>
      <c r="K43" s="215">
        <v>1535.6447963800906</v>
      </c>
      <c r="L43" s="215">
        <v>87.104072398190041</v>
      </c>
      <c r="M43" s="216">
        <v>0</v>
      </c>
      <c r="N43" s="216">
        <v>0</v>
      </c>
      <c r="O43" s="215">
        <v>0</v>
      </c>
      <c r="P43" s="215">
        <v>0</v>
      </c>
      <c r="Q43" s="215">
        <f>E43+G43+I43+K43+M43+O43</f>
        <v>1695.1923076923078</v>
      </c>
      <c r="R43" s="215">
        <f>Q43/D43*100</f>
        <v>96.15384615384616</v>
      </c>
      <c r="S43" s="215">
        <f>D43-Q43</f>
        <v>67.80769230769215</v>
      </c>
      <c r="T43" s="215">
        <f>100-(F43+H43+J43+L43+N43+P43)</f>
        <v>3.8461538461538538</v>
      </c>
      <c r="U43" s="217" t="s">
        <v>507</v>
      </c>
      <c r="V43" s="228"/>
    </row>
    <row r="44" spans="1:22" s="229" customFormat="1" ht="12" customHeight="1" x14ac:dyDescent="0.2">
      <c r="A44" s="489"/>
      <c r="B44" s="33">
        <v>34</v>
      </c>
      <c r="C44" s="214" t="s">
        <v>543</v>
      </c>
      <c r="D44" s="227">
        <v>1688</v>
      </c>
      <c r="E44" s="216">
        <v>63.768888888888895</v>
      </c>
      <c r="F44" s="216">
        <v>3.7777777777777777</v>
      </c>
      <c r="G44" s="216">
        <v>0</v>
      </c>
      <c r="H44" s="216">
        <v>0</v>
      </c>
      <c r="I44" s="215">
        <v>558.91555555555556</v>
      </c>
      <c r="J44" s="215">
        <v>33.111111111111114</v>
      </c>
      <c r="K44" s="215">
        <v>1046.56</v>
      </c>
      <c r="L44" s="215">
        <v>62</v>
      </c>
      <c r="M44" s="216">
        <v>0</v>
      </c>
      <c r="N44" s="216">
        <v>0</v>
      </c>
      <c r="O44" s="215">
        <v>0</v>
      </c>
      <c r="P44" s="215">
        <v>0</v>
      </c>
      <c r="Q44" s="215">
        <f>E44+G44+I44+K44+M44+O44</f>
        <v>1669.2444444444445</v>
      </c>
      <c r="R44" s="215">
        <f>Q44/D44*100</f>
        <v>98.888888888888886</v>
      </c>
      <c r="S44" s="215">
        <f>D44-Q44</f>
        <v>18.755555555555475</v>
      </c>
      <c r="T44" s="215">
        <f>100-(F44+H44+J44+L44+N44+P44)</f>
        <v>1.1111111111111143</v>
      </c>
      <c r="U44" s="228"/>
      <c r="V44" s="217" t="s">
        <v>507</v>
      </c>
    </row>
    <row r="45" spans="1:22" ht="12" customHeight="1" x14ac:dyDescent="0.25">
      <c r="A45" s="490"/>
      <c r="B45" s="471" t="s">
        <v>23</v>
      </c>
      <c r="C45" s="471"/>
      <c r="D45" s="224">
        <f>SUM(D41:D44)</f>
        <v>9921</v>
      </c>
      <c r="E45" s="224">
        <f t="shared" ref="E45:S45" si="15">SUM(E41:E44)</f>
        <v>1972.6426878455156</v>
      </c>
      <c r="F45" s="224">
        <f>E45/D45*100</f>
        <v>19.883506580440638</v>
      </c>
      <c r="G45" s="224">
        <f t="shared" si="15"/>
        <v>1264.5093423144547</v>
      </c>
      <c r="H45" s="224">
        <f>G45/D45*100</f>
        <v>12.745785125637079</v>
      </c>
      <c r="I45" s="224">
        <f t="shared" si="15"/>
        <v>959.40951577002056</v>
      </c>
      <c r="J45" s="224">
        <f>I45/D45*100</f>
        <v>9.6704920448545568</v>
      </c>
      <c r="K45" s="224">
        <f t="shared" si="15"/>
        <v>5443.8743242770852</v>
      </c>
      <c r="L45" s="224">
        <f>K45/D45*100</f>
        <v>54.872233890505854</v>
      </c>
      <c r="M45" s="224">
        <f t="shared" si="15"/>
        <v>0</v>
      </c>
      <c r="N45" s="224">
        <f>M45/D45*100</f>
        <v>0</v>
      </c>
      <c r="O45" s="224">
        <f t="shared" si="15"/>
        <v>0</v>
      </c>
      <c r="P45" s="224">
        <f>O45/D45*100</f>
        <v>0</v>
      </c>
      <c r="Q45" s="224">
        <f t="shared" si="15"/>
        <v>9640.4358702070767</v>
      </c>
      <c r="R45" s="224">
        <f>Q45/D45*100</f>
        <v>97.172017641438117</v>
      </c>
      <c r="S45" s="224">
        <f t="shared" si="15"/>
        <v>280.56412979292304</v>
      </c>
      <c r="T45" s="224">
        <f>S45/D45*100</f>
        <v>2.8279823585618691</v>
      </c>
      <c r="U45" s="225"/>
      <c r="V45" s="225"/>
    </row>
    <row r="46" spans="1:22" ht="12.2" customHeight="1" x14ac:dyDescent="0.25">
      <c r="A46" s="488">
        <v>5</v>
      </c>
      <c r="B46" s="470" t="s">
        <v>544</v>
      </c>
      <c r="C46" s="470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1"/>
      <c r="V46" s="1"/>
    </row>
    <row r="47" spans="1:22" s="229" customFormat="1" ht="12" customHeight="1" x14ac:dyDescent="0.2">
      <c r="A47" s="489"/>
      <c r="B47" s="33">
        <v>35</v>
      </c>
      <c r="C47" s="214" t="s">
        <v>545</v>
      </c>
      <c r="D47" s="227">
        <v>2826</v>
      </c>
      <c r="E47" s="216">
        <v>859.57499999999993</v>
      </c>
      <c r="F47" s="216">
        <v>30.416666666666664</v>
      </c>
      <c r="G47" s="216">
        <v>0</v>
      </c>
      <c r="H47" s="216">
        <v>0</v>
      </c>
      <c r="I47" s="215">
        <v>0</v>
      </c>
      <c r="J47" s="215">
        <v>0</v>
      </c>
      <c r="K47" s="215">
        <v>1903.625</v>
      </c>
      <c r="L47" s="215">
        <v>67.361111111111114</v>
      </c>
      <c r="M47" s="216">
        <v>0</v>
      </c>
      <c r="N47" s="216">
        <v>0</v>
      </c>
      <c r="O47" s="215">
        <v>0</v>
      </c>
      <c r="P47" s="215">
        <v>0</v>
      </c>
      <c r="Q47" s="215">
        <f t="shared" ref="Q47:Q53" si="16">E47+G47+I47+K47+M47+O47</f>
        <v>2763.2</v>
      </c>
      <c r="R47" s="215">
        <f t="shared" ref="R47:R54" si="17">Q47/D47*100</f>
        <v>97.777777777777771</v>
      </c>
      <c r="S47" s="215">
        <f t="shared" ref="S47:S53" si="18">D47-Q47</f>
        <v>62.800000000000182</v>
      </c>
      <c r="T47" s="215">
        <f t="shared" ref="T47:T53" si="19">100-(F47+H47+J47+L47+N47+P47)</f>
        <v>2.2222222222222285</v>
      </c>
      <c r="U47" s="217" t="s">
        <v>507</v>
      </c>
      <c r="V47" s="228"/>
    </row>
    <row r="48" spans="1:22" s="229" customFormat="1" ht="12" customHeight="1" x14ac:dyDescent="0.2">
      <c r="A48" s="489"/>
      <c r="B48" s="33">
        <v>36</v>
      </c>
      <c r="C48" s="214" t="s">
        <v>546</v>
      </c>
      <c r="D48" s="227">
        <v>1356</v>
      </c>
      <c r="E48" s="216">
        <v>1157.0217391304348</v>
      </c>
      <c r="F48" s="216">
        <v>85.326086956521735</v>
      </c>
      <c r="G48" s="216">
        <v>198.97826086956522</v>
      </c>
      <c r="H48" s="216">
        <v>14.673913043478262</v>
      </c>
      <c r="I48" s="215">
        <v>0</v>
      </c>
      <c r="J48" s="215">
        <v>0</v>
      </c>
      <c r="K48" s="215">
        <v>0</v>
      </c>
      <c r="L48" s="215">
        <v>0</v>
      </c>
      <c r="M48" s="216">
        <v>0</v>
      </c>
      <c r="N48" s="216">
        <v>0</v>
      </c>
      <c r="O48" s="215">
        <v>0</v>
      </c>
      <c r="P48" s="215">
        <v>0</v>
      </c>
      <c r="Q48" s="215">
        <f t="shared" si="16"/>
        <v>1356</v>
      </c>
      <c r="R48" s="215">
        <f t="shared" si="17"/>
        <v>100</v>
      </c>
      <c r="S48" s="215">
        <f t="shared" si="18"/>
        <v>0</v>
      </c>
      <c r="T48" s="215">
        <f t="shared" si="19"/>
        <v>0</v>
      </c>
      <c r="U48" s="217" t="s">
        <v>507</v>
      </c>
      <c r="V48" s="228"/>
    </row>
    <row r="49" spans="1:22" s="229" customFormat="1" ht="12" customHeight="1" x14ac:dyDescent="0.2">
      <c r="A49" s="489"/>
      <c r="B49" s="33">
        <v>37</v>
      </c>
      <c r="C49" s="214" t="s">
        <v>547</v>
      </c>
      <c r="D49" s="227">
        <v>915</v>
      </c>
      <c r="E49" s="216">
        <v>843.23529411764707</v>
      </c>
      <c r="F49" s="216">
        <v>92.156862745098039</v>
      </c>
      <c r="G49" s="216">
        <v>0</v>
      </c>
      <c r="H49" s="216">
        <v>0</v>
      </c>
      <c r="I49" s="215">
        <v>0</v>
      </c>
      <c r="J49" s="215">
        <v>0</v>
      </c>
      <c r="K49" s="215">
        <v>17.941176470588236</v>
      </c>
      <c r="L49" s="215">
        <v>1.9607843137254901</v>
      </c>
      <c r="M49" s="216">
        <v>0</v>
      </c>
      <c r="N49" s="216">
        <v>0</v>
      </c>
      <c r="O49" s="215">
        <v>0</v>
      </c>
      <c r="P49" s="215">
        <v>0</v>
      </c>
      <c r="Q49" s="215">
        <f t="shared" si="16"/>
        <v>861.17647058823536</v>
      </c>
      <c r="R49" s="215">
        <f t="shared" si="17"/>
        <v>94.117647058823536</v>
      </c>
      <c r="S49" s="215">
        <f t="shared" si="18"/>
        <v>53.823529411764639</v>
      </c>
      <c r="T49" s="215">
        <f t="shared" si="19"/>
        <v>5.8823529411764781</v>
      </c>
      <c r="U49" s="228"/>
      <c r="V49" s="217" t="s">
        <v>507</v>
      </c>
    </row>
    <row r="50" spans="1:22" s="229" customFormat="1" ht="12" customHeight="1" x14ac:dyDescent="0.2">
      <c r="A50" s="489"/>
      <c r="B50" s="33">
        <v>38</v>
      </c>
      <c r="C50" s="214" t="s">
        <v>548</v>
      </c>
      <c r="D50" s="227">
        <v>1497</v>
      </c>
      <c r="E50" s="216">
        <v>0</v>
      </c>
      <c r="F50" s="216">
        <v>0</v>
      </c>
      <c r="G50" s="216">
        <v>284.2967359050445</v>
      </c>
      <c r="H50" s="216">
        <v>18.991097922848663</v>
      </c>
      <c r="I50" s="215">
        <v>0</v>
      </c>
      <c r="J50" s="215">
        <v>0</v>
      </c>
      <c r="K50" s="215">
        <v>1123.8605341246291</v>
      </c>
      <c r="L50" s="215">
        <v>75.074183976261139</v>
      </c>
      <c r="M50" s="216">
        <v>0</v>
      </c>
      <c r="N50" s="216">
        <v>0</v>
      </c>
      <c r="O50" s="215">
        <v>0</v>
      </c>
      <c r="P50" s="215">
        <v>0</v>
      </c>
      <c r="Q50" s="215">
        <f t="shared" si="16"/>
        <v>1408.1572700296736</v>
      </c>
      <c r="R50" s="215">
        <f t="shared" si="17"/>
        <v>94.065281899109792</v>
      </c>
      <c r="S50" s="215">
        <f t="shared" si="18"/>
        <v>88.842729970326445</v>
      </c>
      <c r="T50" s="215">
        <f t="shared" si="19"/>
        <v>5.9347181008901941</v>
      </c>
      <c r="U50" s="217" t="s">
        <v>507</v>
      </c>
      <c r="V50" s="228"/>
    </row>
    <row r="51" spans="1:22" s="229" customFormat="1" ht="12" customHeight="1" x14ac:dyDescent="0.2">
      <c r="A51" s="489"/>
      <c r="B51" s="33">
        <v>39</v>
      </c>
      <c r="C51" s="214" t="s">
        <v>549</v>
      </c>
      <c r="D51" s="227">
        <v>1309</v>
      </c>
      <c r="E51" s="216">
        <v>0</v>
      </c>
      <c r="F51" s="216">
        <v>0</v>
      </c>
      <c r="G51" s="216">
        <v>515.87326388888891</v>
      </c>
      <c r="H51" s="216">
        <v>39.409722222222229</v>
      </c>
      <c r="I51" s="215">
        <v>793.1267361111112</v>
      </c>
      <c r="J51" s="215">
        <v>60.590277777777779</v>
      </c>
      <c r="K51" s="215">
        <v>0</v>
      </c>
      <c r="L51" s="215">
        <v>0</v>
      </c>
      <c r="M51" s="216">
        <v>0</v>
      </c>
      <c r="N51" s="216">
        <v>0</v>
      </c>
      <c r="O51" s="215">
        <v>0</v>
      </c>
      <c r="P51" s="215">
        <v>0</v>
      </c>
      <c r="Q51" s="215">
        <f t="shared" si="16"/>
        <v>1309</v>
      </c>
      <c r="R51" s="215">
        <f t="shared" si="17"/>
        <v>100</v>
      </c>
      <c r="S51" s="215">
        <f t="shared" si="18"/>
        <v>0</v>
      </c>
      <c r="T51" s="215">
        <f t="shared" si="19"/>
        <v>0</v>
      </c>
      <c r="U51" s="217" t="s">
        <v>507</v>
      </c>
      <c r="V51" s="228"/>
    </row>
    <row r="52" spans="1:22" s="229" customFormat="1" ht="12" customHeight="1" x14ac:dyDescent="0.2">
      <c r="A52" s="489"/>
      <c r="B52" s="33">
        <v>40</v>
      </c>
      <c r="C52" s="214" t="s">
        <v>550</v>
      </c>
      <c r="D52" s="227">
        <v>790</v>
      </c>
      <c r="E52" s="216">
        <v>0</v>
      </c>
      <c r="F52" s="216">
        <v>0</v>
      </c>
      <c r="G52" s="216">
        <v>559.90291262135918</v>
      </c>
      <c r="H52" s="216">
        <v>70.873786407766985</v>
      </c>
      <c r="I52" s="215">
        <v>38.349514563106794</v>
      </c>
      <c r="J52" s="215">
        <v>4.8543689320388346</v>
      </c>
      <c r="K52" s="215">
        <v>11.504854368932039</v>
      </c>
      <c r="L52" s="215">
        <v>1.4563106796116505</v>
      </c>
      <c r="M52" s="216">
        <v>0</v>
      </c>
      <c r="N52" s="216">
        <v>0</v>
      </c>
      <c r="O52" s="215">
        <v>164.90291262135923</v>
      </c>
      <c r="P52" s="215">
        <v>20.873786407766993</v>
      </c>
      <c r="Q52" s="215">
        <f t="shared" si="16"/>
        <v>774.66019417475718</v>
      </c>
      <c r="R52" s="215">
        <f t="shared" si="17"/>
        <v>98.058252427184456</v>
      </c>
      <c r="S52" s="215">
        <f t="shared" si="18"/>
        <v>15.33980582524282</v>
      </c>
      <c r="T52" s="215">
        <f t="shared" si="19"/>
        <v>1.9417475728155296</v>
      </c>
      <c r="U52" s="217" t="s">
        <v>507</v>
      </c>
      <c r="V52" s="228"/>
    </row>
    <row r="53" spans="1:22" s="229" customFormat="1" ht="12" customHeight="1" x14ac:dyDescent="0.2">
      <c r="A53" s="489"/>
      <c r="B53" s="33">
        <v>41</v>
      </c>
      <c r="C53" s="214" t="s">
        <v>551</v>
      </c>
      <c r="D53" s="227">
        <v>1724</v>
      </c>
      <c r="E53" s="216">
        <v>0</v>
      </c>
      <c r="F53" s="216">
        <v>0</v>
      </c>
      <c r="G53" s="216">
        <v>153.73248407643314</v>
      </c>
      <c r="H53" s="216">
        <v>8.9171974522293009</v>
      </c>
      <c r="I53" s="215">
        <v>629.57112526539277</v>
      </c>
      <c r="J53" s="215">
        <v>36.518046709129507</v>
      </c>
      <c r="K53" s="215">
        <v>940.6963906581741</v>
      </c>
      <c r="L53" s="215">
        <v>54.56475583864119</v>
      </c>
      <c r="M53" s="216">
        <v>0</v>
      </c>
      <c r="N53" s="216">
        <v>0</v>
      </c>
      <c r="O53" s="215">
        <v>0</v>
      </c>
      <c r="P53" s="215">
        <v>0</v>
      </c>
      <c r="Q53" s="215">
        <f t="shared" si="16"/>
        <v>1724</v>
      </c>
      <c r="R53" s="215">
        <f t="shared" si="17"/>
        <v>100</v>
      </c>
      <c r="S53" s="215">
        <f t="shared" si="18"/>
        <v>0</v>
      </c>
      <c r="T53" s="215">
        <f t="shared" si="19"/>
        <v>0</v>
      </c>
      <c r="U53" s="217" t="s">
        <v>507</v>
      </c>
      <c r="V53" s="228"/>
    </row>
    <row r="54" spans="1:22" ht="12" customHeight="1" x14ac:dyDescent="0.25">
      <c r="A54" s="490"/>
      <c r="B54" s="471" t="s">
        <v>23</v>
      </c>
      <c r="C54" s="471"/>
      <c r="D54" s="224">
        <f>SUM(D47:D53)</f>
        <v>10417</v>
      </c>
      <c r="E54" s="224">
        <f t="shared" ref="E54:S54" si="20">SUM(E47:E53)</f>
        <v>2859.8320332480816</v>
      </c>
      <c r="F54" s="224">
        <f>E54/D54*100</f>
        <v>27.453509006893363</v>
      </c>
      <c r="G54" s="224">
        <f t="shared" si="20"/>
        <v>1712.7836573612908</v>
      </c>
      <c r="H54" s="224">
        <f>G54/D54*100</f>
        <v>16.44219696036566</v>
      </c>
      <c r="I54" s="224">
        <f t="shared" si="20"/>
        <v>1461.0473759396109</v>
      </c>
      <c r="J54" s="224">
        <f>I54/D54*100</f>
        <v>14.025605989628598</v>
      </c>
      <c r="K54" s="224">
        <f t="shared" si="20"/>
        <v>3997.627955622324</v>
      </c>
      <c r="L54" s="224">
        <f>K54/D54*100</f>
        <v>38.376000341963369</v>
      </c>
      <c r="M54" s="224">
        <f t="shared" si="20"/>
        <v>0</v>
      </c>
      <c r="N54" s="224">
        <f>M54/D54*100</f>
        <v>0</v>
      </c>
      <c r="O54" s="224">
        <f t="shared" si="20"/>
        <v>164.90291262135923</v>
      </c>
      <c r="P54" s="224">
        <f>O54/D54*100</f>
        <v>1.5830173046113012</v>
      </c>
      <c r="Q54" s="224">
        <f t="shared" si="20"/>
        <v>10196.193934792665</v>
      </c>
      <c r="R54" s="224">
        <f t="shared" si="17"/>
        <v>97.880329603462286</v>
      </c>
      <c r="S54" s="224">
        <f t="shared" si="20"/>
        <v>220.80606520733409</v>
      </c>
      <c r="T54" s="224">
        <f>S54/D54*100</f>
        <v>2.1196703965377184</v>
      </c>
      <c r="U54" s="225"/>
      <c r="V54" s="225"/>
    </row>
    <row r="55" spans="1:22" ht="12.2" customHeight="1" x14ac:dyDescent="0.25">
      <c r="A55" s="488">
        <v>6</v>
      </c>
      <c r="B55" s="470" t="s">
        <v>552</v>
      </c>
      <c r="C55" s="470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1"/>
      <c r="V55" s="1"/>
    </row>
    <row r="56" spans="1:22" s="229" customFormat="1" ht="12" customHeight="1" x14ac:dyDescent="0.2">
      <c r="A56" s="489"/>
      <c r="B56" s="33">
        <v>42</v>
      </c>
      <c r="C56" s="214" t="s">
        <v>553</v>
      </c>
      <c r="D56" s="227">
        <v>1703</v>
      </c>
      <c r="E56" s="216">
        <v>131.49340866290018</v>
      </c>
      <c r="F56" s="216">
        <v>7.7212806026365346</v>
      </c>
      <c r="G56" s="216">
        <v>814.61770244821093</v>
      </c>
      <c r="H56" s="216">
        <v>47.834274952919017</v>
      </c>
      <c r="I56" s="215">
        <v>756.88888888888891</v>
      </c>
      <c r="J56" s="215">
        <v>44.44444444444445</v>
      </c>
      <c r="K56" s="215">
        <v>0</v>
      </c>
      <c r="L56" s="215">
        <v>0</v>
      </c>
      <c r="M56" s="216">
        <v>0</v>
      </c>
      <c r="N56" s="216">
        <v>0</v>
      </c>
      <c r="O56" s="215">
        <v>0</v>
      </c>
      <c r="P56" s="215">
        <v>0</v>
      </c>
      <c r="Q56" s="215">
        <f t="shared" ref="Q56:Q65" si="21">E56+G56+I56+K56+M56+O56</f>
        <v>1703</v>
      </c>
      <c r="R56" s="215">
        <f t="shared" ref="R56:R66" si="22">Q56/D56*100</f>
        <v>100</v>
      </c>
      <c r="S56" s="215">
        <f t="shared" ref="S56:S65" si="23">D56-Q56</f>
        <v>0</v>
      </c>
      <c r="T56" s="215">
        <f t="shared" ref="T56:T65" si="24">100-(F56+H56+J56+L56+N56+P56)</f>
        <v>0</v>
      </c>
      <c r="U56" s="217" t="s">
        <v>507</v>
      </c>
      <c r="V56" s="228"/>
    </row>
    <row r="57" spans="1:22" s="229" customFormat="1" ht="12" customHeight="1" x14ac:dyDescent="0.2">
      <c r="A57" s="489"/>
      <c r="B57" s="33">
        <v>43</v>
      </c>
      <c r="C57" s="214" t="s">
        <v>554</v>
      </c>
      <c r="D57" s="227">
        <v>2109</v>
      </c>
      <c r="E57" s="216">
        <v>675.1584158415842</v>
      </c>
      <c r="F57" s="216">
        <v>32.013201320132019</v>
      </c>
      <c r="G57" s="216">
        <v>783.04455445544556</v>
      </c>
      <c r="H57" s="216">
        <v>37.128712871287128</v>
      </c>
      <c r="I57" s="215">
        <v>650.79702970297035</v>
      </c>
      <c r="J57" s="215">
        <v>30.85808580858086</v>
      </c>
      <c r="K57" s="215">
        <v>0</v>
      </c>
      <c r="L57" s="215">
        <v>0</v>
      </c>
      <c r="M57" s="216">
        <v>0</v>
      </c>
      <c r="N57" s="216">
        <v>0</v>
      </c>
      <c r="O57" s="215">
        <v>0</v>
      </c>
      <c r="P57" s="215">
        <v>0</v>
      </c>
      <c r="Q57" s="215">
        <f t="shared" si="21"/>
        <v>2109</v>
      </c>
      <c r="R57" s="215">
        <f t="shared" si="22"/>
        <v>100</v>
      </c>
      <c r="S57" s="215">
        <f t="shared" si="23"/>
        <v>0</v>
      </c>
      <c r="T57" s="215">
        <f t="shared" si="24"/>
        <v>0</v>
      </c>
      <c r="U57" s="217" t="s">
        <v>507</v>
      </c>
      <c r="V57" s="228"/>
    </row>
    <row r="58" spans="1:22" s="229" customFormat="1" ht="12" customHeight="1" x14ac:dyDescent="0.2">
      <c r="A58" s="489"/>
      <c r="B58" s="33">
        <v>44</v>
      </c>
      <c r="C58" s="214" t="s">
        <v>555</v>
      </c>
      <c r="D58" s="227">
        <v>2575</v>
      </c>
      <c r="E58" s="216">
        <v>995.95041322314057</v>
      </c>
      <c r="F58" s="216">
        <v>38.677685950413228</v>
      </c>
      <c r="G58" s="216">
        <v>0</v>
      </c>
      <c r="H58" s="216">
        <v>0</v>
      </c>
      <c r="I58" s="215">
        <v>0</v>
      </c>
      <c r="J58" s="215">
        <v>0</v>
      </c>
      <c r="K58" s="215">
        <v>1579.0495867768595</v>
      </c>
      <c r="L58" s="215">
        <v>61.32231404958678</v>
      </c>
      <c r="M58" s="216">
        <v>0</v>
      </c>
      <c r="N58" s="216">
        <v>0</v>
      </c>
      <c r="O58" s="215">
        <v>0</v>
      </c>
      <c r="P58" s="215">
        <v>0</v>
      </c>
      <c r="Q58" s="215">
        <f t="shared" si="21"/>
        <v>2575</v>
      </c>
      <c r="R58" s="215">
        <f t="shared" si="22"/>
        <v>100</v>
      </c>
      <c r="S58" s="215">
        <f t="shared" si="23"/>
        <v>0</v>
      </c>
      <c r="T58" s="215">
        <f t="shared" si="24"/>
        <v>0</v>
      </c>
      <c r="U58" s="217" t="s">
        <v>507</v>
      </c>
      <c r="V58" s="228"/>
    </row>
    <row r="59" spans="1:22" s="229" customFormat="1" ht="12" customHeight="1" x14ac:dyDescent="0.2">
      <c r="A59" s="489"/>
      <c r="B59" s="33">
        <v>45</v>
      </c>
      <c r="C59" s="214" t="s">
        <v>556</v>
      </c>
      <c r="D59" s="227">
        <v>4975</v>
      </c>
      <c r="E59" s="216">
        <v>1078.58</v>
      </c>
      <c r="F59" s="216">
        <v>21.68</v>
      </c>
      <c r="G59" s="216">
        <v>147.26</v>
      </c>
      <c r="H59" s="216">
        <v>2.96</v>
      </c>
      <c r="I59" s="215">
        <v>2435.7599999999998</v>
      </c>
      <c r="J59" s="215">
        <v>48.96</v>
      </c>
      <c r="K59" s="215">
        <v>899.48</v>
      </c>
      <c r="L59" s="215">
        <v>18.080000000000002</v>
      </c>
      <c r="M59" s="216">
        <v>0</v>
      </c>
      <c r="N59" s="216">
        <v>0</v>
      </c>
      <c r="O59" s="215">
        <v>0</v>
      </c>
      <c r="P59" s="215">
        <v>0</v>
      </c>
      <c r="Q59" s="215">
        <f t="shared" si="21"/>
        <v>4561.08</v>
      </c>
      <c r="R59" s="215">
        <f t="shared" si="22"/>
        <v>91.679999999999993</v>
      </c>
      <c r="S59" s="215">
        <f t="shared" si="23"/>
        <v>413.92000000000007</v>
      </c>
      <c r="T59" s="215">
        <f t="shared" si="24"/>
        <v>8.3200000000000074</v>
      </c>
      <c r="U59" s="217" t="s">
        <v>507</v>
      </c>
      <c r="V59" s="228"/>
    </row>
    <row r="60" spans="1:22" s="229" customFormat="1" ht="12" customHeight="1" x14ac:dyDescent="0.2">
      <c r="A60" s="489"/>
      <c r="B60" s="33">
        <v>46</v>
      </c>
      <c r="C60" s="214" t="s">
        <v>557</v>
      </c>
      <c r="D60" s="227">
        <v>1592</v>
      </c>
      <c r="E60" s="216">
        <v>16.846560846560848</v>
      </c>
      <c r="F60" s="216">
        <v>1.0582010582010584</v>
      </c>
      <c r="G60" s="216">
        <v>0</v>
      </c>
      <c r="H60" s="216">
        <v>0</v>
      </c>
      <c r="I60" s="215">
        <v>732.82539682539687</v>
      </c>
      <c r="J60" s="215">
        <v>46.031746031746032</v>
      </c>
      <c r="K60" s="215">
        <v>534.87830687830694</v>
      </c>
      <c r="L60" s="215">
        <v>33.597883597883602</v>
      </c>
      <c r="M60" s="216">
        <v>0</v>
      </c>
      <c r="N60" s="216">
        <v>0</v>
      </c>
      <c r="O60" s="215">
        <v>0</v>
      </c>
      <c r="P60" s="215">
        <v>0</v>
      </c>
      <c r="Q60" s="215">
        <f t="shared" si="21"/>
        <v>1284.5502645502647</v>
      </c>
      <c r="R60" s="215">
        <f t="shared" si="22"/>
        <v>80.687830687830697</v>
      </c>
      <c r="S60" s="215">
        <f t="shared" si="23"/>
        <v>307.44973544973527</v>
      </c>
      <c r="T60" s="215">
        <f t="shared" si="24"/>
        <v>19.312169312169317</v>
      </c>
      <c r="U60" s="217" t="s">
        <v>507</v>
      </c>
      <c r="V60" s="228"/>
    </row>
    <row r="61" spans="1:22" s="229" customFormat="1" ht="12" customHeight="1" x14ac:dyDescent="0.2">
      <c r="A61" s="489"/>
      <c r="B61" s="33">
        <v>47</v>
      </c>
      <c r="C61" s="214" t="s">
        <v>558</v>
      </c>
      <c r="D61" s="227">
        <v>2136</v>
      </c>
      <c r="E61" s="216">
        <v>291.64615384615382</v>
      </c>
      <c r="F61" s="216">
        <v>13.653846153846153</v>
      </c>
      <c r="G61" s="216">
        <v>254.67692307692306</v>
      </c>
      <c r="H61" s="216">
        <v>11.923076923076922</v>
      </c>
      <c r="I61" s="215">
        <v>998.16923076923069</v>
      </c>
      <c r="J61" s="215">
        <v>46.730769230769226</v>
      </c>
      <c r="K61" s="215">
        <v>517.56923076923067</v>
      </c>
      <c r="L61" s="215">
        <v>24.230769230769226</v>
      </c>
      <c r="M61" s="216">
        <v>0</v>
      </c>
      <c r="N61" s="216">
        <v>0</v>
      </c>
      <c r="O61" s="215">
        <v>0</v>
      </c>
      <c r="P61" s="215">
        <v>0</v>
      </c>
      <c r="Q61" s="215">
        <f t="shared" si="21"/>
        <v>2062.0615384615385</v>
      </c>
      <c r="R61" s="215">
        <f t="shared" si="22"/>
        <v>96.538461538461533</v>
      </c>
      <c r="S61" s="215">
        <f t="shared" si="23"/>
        <v>73.938461538461524</v>
      </c>
      <c r="T61" s="215">
        <f t="shared" si="24"/>
        <v>3.4615384615384812</v>
      </c>
      <c r="U61" s="217" t="s">
        <v>507</v>
      </c>
      <c r="V61" s="228"/>
    </row>
    <row r="62" spans="1:22" s="229" customFormat="1" ht="12" customHeight="1" x14ac:dyDescent="0.2">
      <c r="A62" s="489"/>
      <c r="B62" s="33">
        <v>48</v>
      </c>
      <c r="C62" s="214" t="s">
        <v>559</v>
      </c>
      <c r="D62" s="227">
        <v>1655</v>
      </c>
      <c r="E62" s="216">
        <v>142.1472392638037</v>
      </c>
      <c r="F62" s="216">
        <v>8.5889570552147241</v>
      </c>
      <c r="G62" s="216">
        <v>379.05930470347653</v>
      </c>
      <c r="H62" s="216">
        <v>22.903885480572601</v>
      </c>
      <c r="I62" s="215">
        <v>169.22290388548058</v>
      </c>
      <c r="J62" s="215">
        <v>10.224948875255624</v>
      </c>
      <c r="K62" s="215">
        <v>927.34151329243355</v>
      </c>
      <c r="L62" s="215">
        <v>56.032719836400823</v>
      </c>
      <c r="M62" s="216">
        <v>0</v>
      </c>
      <c r="N62" s="216">
        <v>0</v>
      </c>
      <c r="O62" s="215">
        <v>0</v>
      </c>
      <c r="P62" s="215">
        <v>0</v>
      </c>
      <c r="Q62" s="215">
        <f t="shared" si="21"/>
        <v>1617.7709611451944</v>
      </c>
      <c r="R62" s="215">
        <f t="shared" si="22"/>
        <v>97.750511247443768</v>
      </c>
      <c r="S62" s="215">
        <f t="shared" si="23"/>
        <v>37.229038854805594</v>
      </c>
      <c r="T62" s="215">
        <f t="shared" si="24"/>
        <v>2.2494887525562319</v>
      </c>
      <c r="U62" s="217" t="s">
        <v>507</v>
      </c>
      <c r="V62" s="228"/>
    </row>
    <row r="63" spans="1:22" s="229" customFormat="1" ht="12" customHeight="1" x14ac:dyDescent="0.2">
      <c r="A63" s="489"/>
      <c r="B63" s="33">
        <v>49</v>
      </c>
      <c r="C63" s="214" t="s">
        <v>560</v>
      </c>
      <c r="D63" s="227">
        <v>1104</v>
      </c>
      <c r="E63" s="216">
        <v>0</v>
      </c>
      <c r="F63" s="216">
        <v>0</v>
      </c>
      <c r="G63" s="216">
        <v>0</v>
      </c>
      <c r="H63" s="216">
        <v>0</v>
      </c>
      <c r="I63" s="215">
        <v>943.55709342560556</v>
      </c>
      <c r="J63" s="215">
        <v>85.467128027681667</v>
      </c>
      <c r="K63" s="215">
        <v>11.460207612456747</v>
      </c>
      <c r="L63" s="215">
        <v>1.0380622837370241</v>
      </c>
      <c r="M63" s="216">
        <v>0</v>
      </c>
      <c r="N63" s="216">
        <v>0</v>
      </c>
      <c r="O63" s="215">
        <v>0</v>
      </c>
      <c r="P63" s="215">
        <v>0</v>
      </c>
      <c r="Q63" s="215">
        <f t="shared" si="21"/>
        <v>955.01730103806233</v>
      </c>
      <c r="R63" s="215">
        <f t="shared" si="22"/>
        <v>86.505190311418687</v>
      </c>
      <c r="S63" s="215">
        <f t="shared" si="23"/>
        <v>148.98269896193767</v>
      </c>
      <c r="T63" s="215">
        <f t="shared" si="24"/>
        <v>13.494809688581313</v>
      </c>
      <c r="U63" s="217" t="s">
        <v>507</v>
      </c>
      <c r="V63" s="228"/>
    </row>
    <row r="64" spans="1:22" s="229" customFormat="1" ht="12" customHeight="1" x14ac:dyDescent="0.2">
      <c r="A64" s="489"/>
      <c r="B64" s="33">
        <v>50</v>
      </c>
      <c r="C64" s="214" t="s">
        <v>561</v>
      </c>
      <c r="D64" s="227">
        <v>1174</v>
      </c>
      <c r="E64" s="216">
        <v>0</v>
      </c>
      <c r="F64" s="216">
        <v>0</v>
      </c>
      <c r="G64" s="216">
        <v>0</v>
      </c>
      <c r="H64" s="216">
        <v>0</v>
      </c>
      <c r="I64" s="215">
        <v>664.69117647058829</v>
      </c>
      <c r="J64" s="215">
        <v>56.617647058823536</v>
      </c>
      <c r="K64" s="215">
        <v>300</v>
      </c>
      <c r="L64" s="215">
        <v>25.55366269165247</v>
      </c>
      <c r="M64" s="216">
        <v>0</v>
      </c>
      <c r="N64" s="216">
        <v>0</v>
      </c>
      <c r="O64" s="215">
        <v>0</v>
      </c>
      <c r="P64" s="215">
        <v>0</v>
      </c>
      <c r="Q64" s="215">
        <f t="shared" si="21"/>
        <v>964.69117647058829</v>
      </c>
      <c r="R64" s="215">
        <f t="shared" si="22"/>
        <v>82.171309750476013</v>
      </c>
      <c r="S64" s="215">
        <f t="shared" si="23"/>
        <v>209.30882352941171</v>
      </c>
      <c r="T64" s="215">
        <f t="shared" si="24"/>
        <v>17.828690249523987</v>
      </c>
      <c r="U64" s="217" t="s">
        <v>507</v>
      </c>
      <c r="V64" s="228"/>
    </row>
    <row r="65" spans="1:22" s="229" customFormat="1" ht="12" customHeight="1" x14ac:dyDescent="0.2">
      <c r="A65" s="489"/>
      <c r="B65" s="33">
        <v>51</v>
      </c>
      <c r="C65" s="214" t="s">
        <v>562</v>
      </c>
      <c r="D65" s="227">
        <v>891</v>
      </c>
      <c r="E65" s="216">
        <v>0</v>
      </c>
      <c r="F65" s="216">
        <v>0</v>
      </c>
      <c r="G65" s="216">
        <v>153.25200000000001</v>
      </c>
      <c r="H65" s="216">
        <v>17.200000000000003</v>
      </c>
      <c r="I65" s="215">
        <v>506.08800000000002</v>
      </c>
      <c r="J65" s="215">
        <v>56.800000000000004</v>
      </c>
      <c r="K65" s="215">
        <v>0</v>
      </c>
      <c r="L65" s="215">
        <v>0</v>
      </c>
      <c r="M65" s="216">
        <v>0</v>
      </c>
      <c r="N65" s="216">
        <v>0</v>
      </c>
      <c r="O65" s="215">
        <v>188.892</v>
      </c>
      <c r="P65" s="215">
        <v>21.2</v>
      </c>
      <c r="Q65" s="215">
        <f t="shared" si="21"/>
        <v>848.23199999999997</v>
      </c>
      <c r="R65" s="215">
        <f t="shared" si="22"/>
        <v>95.199999999999989</v>
      </c>
      <c r="S65" s="215">
        <f t="shared" si="23"/>
        <v>42.768000000000029</v>
      </c>
      <c r="T65" s="215">
        <f t="shared" si="24"/>
        <v>4.7999999999999972</v>
      </c>
      <c r="U65" s="217" t="s">
        <v>507</v>
      </c>
      <c r="V65" s="228"/>
    </row>
    <row r="66" spans="1:22" ht="12" customHeight="1" x14ac:dyDescent="0.25">
      <c r="A66" s="490"/>
      <c r="B66" s="471" t="s">
        <v>23</v>
      </c>
      <c r="C66" s="471"/>
      <c r="D66" s="224">
        <f>SUM(D56:D65)</f>
        <v>19914</v>
      </c>
      <c r="E66" s="224">
        <f t="shared" ref="E66:S66" si="25">SUM(E56:E65)</f>
        <v>3331.8221916841435</v>
      </c>
      <c r="F66" s="224">
        <f>E66/D66*100</f>
        <v>16.731054492739496</v>
      </c>
      <c r="G66" s="224">
        <f t="shared" si="25"/>
        <v>2531.910484684056</v>
      </c>
      <c r="H66" s="224">
        <f>G66/D66*100</f>
        <v>12.714223584835072</v>
      </c>
      <c r="I66" s="224">
        <f t="shared" si="25"/>
        <v>7857.9997199681611</v>
      </c>
      <c r="J66" s="224">
        <f>I66/D66*100</f>
        <v>39.45967520321463</v>
      </c>
      <c r="K66" s="224">
        <f t="shared" si="25"/>
        <v>4769.7788453292869</v>
      </c>
      <c r="L66" s="224">
        <f>K66/D66*100</f>
        <v>23.951887342217972</v>
      </c>
      <c r="M66" s="224">
        <f t="shared" si="25"/>
        <v>0</v>
      </c>
      <c r="N66" s="224">
        <f>M66/D66*100</f>
        <v>0</v>
      </c>
      <c r="O66" s="224">
        <f t="shared" si="25"/>
        <v>188.892</v>
      </c>
      <c r="P66" s="224">
        <f>O66/D66*100</f>
        <v>0.94853871648086763</v>
      </c>
      <c r="Q66" s="224">
        <f t="shared" si="25"/>
        <v>18680.403241665648</v>
      </c>
      <c r="R66" s="224">
        <f t="shared" si="22"/>
        <v>93.805379339488042</v>
      </c>
      <c r="S66" s="224">
        <f t="shared" si="25"/>
        <v>1233.5967583343518</v>
      </c>
      <c r="T66" s="224">
        <f>S66/D66*100</f>
        <v>6.1946206605119603</v>
      </c>
      <c r="U66" s="225"/>
      <c r="V66" s="225"/>
    </row>
    <row r="67" spans="1:22" ht="12.2" customHeight="1" x14ac:dyDescent="0.25">
      <c r="A67" s="488">
        <v>7</v>
      </c>
      <c r="B67" s="470" t="s">
        <v>563</v>
      </c>
      <c r="C67" s="470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1"/>
      <c r="V67" s="1"/>
    </row>
    <row r="68" spans="1:22" s="229" customFormat="1" ht="12" customHeight="1" x14ac:dyDescent="0.2">
      <c r="A68" s="489"/>
      <c r="B68" s="33">
        <v>52</v>
      </c>
      <c r="C68" s="214" t="s">
        <v>564</v>
      </c>
      <c r="D68" s="227">
        <v>1989</v>
      </c>
      <c r="E68" s="216">
        <v>0</v>
      </c>
      <c r="F68" s="216">
        <v>0</v>
      </c>
      <c r="G68" s="216">
        <v>79.698606271776995</v>
      </c>
      <c r="H68" s="216">
        <v>4.0069686411149821</v>
      </c>
      <c r="I68" s="215">
        <v>0</v>
      </c>
      <c r="J68" s="215">
        <v>0</v>
      </c>
      <c r="K68" s="215">
        <v>1618.2282229965156</v>
      </c>
      <c r="L68" s="215">
        <v>81.358885017421599</v>
      </c>
      <c r="M68" s="216">
        <v>0</v>
      </c>
      <c r="N68" s="216">
        <v>0</v>
      </c>
      <c r="O68" s="215">
        <v>0</v>
      </c>
      <c r="P68" s="215">
        <v>0</v>
      </c>
      <c r="Q68" s="215">
        <f t="shared" ref="Q68:Q75" si="26">E68+G68+I68+K68+M68+O68</f>
        <v>1697.9268292682925</v>
      </c>
      <c r="R68" s="215">
        <f t="shared" ref="R68:R76" si="27">Q68/D68*100</f>
        <v>85.365853658536565</v>
      </c>
      <c r="S68" s="215">
        <f t="shared" ref="S68:S75" si="28">D68-Q68</f>
        <v>291.07317073170748</v>
      </c>
      <c r="T68" s="215">
        <f t="shared" ref="T68:T75" si="29">100-(F68+H68+J68+L68+N68+P68)</f>
        <v>14.634146341463421</v>
      </c>
      <c r="U68" s="217" t="s">
        <v>507</v>
      </c>
      <c r="V68" s="228"/>
    </row>
    <row r="69" spans="1:22" s="229" customFormat="1" ht="12" customHeight="1" x14ac:dyDescent="0.2">
      <c r="A69" s="489"/>
      <c r="B69" s="33">
        <v>53</v>
      </c>
      <c r="C69" s="214" t="s">
        <v>565</v>
      </c>
      <c r="D69" s="227">
        <v>990</v>
      </c>
      <c r="E69" s="216">
        <v>0</v>
      </c>
      <c r="F69" s="216">
        <v>0</v>
      </c>
      <c r="G69" s="216">
        <v>131.484375</v>
      </c>
      <c r="H69" s="216">
        <v>13.28125</v>
      </c>
      <c r="I69" s="215">
        <v>707.6953125</v>
      </c>
      <c r="J69" s="215">
        <v>71.484375</v>
      </c>
      <c r="K69" s="215">
        <v>0</v>
      </c>
      <c r="L69" s="215">
        <v>0</v>
      </c>
      <c r="M69" s="216">
        <v>0</v>
      </c>
      <c r="N69" s="216">
        <v>0</v>
      </c>
      <c r="O69" s="215">
        <v>0</v>
      </c>
      <c r="P69" s="215">
        <v>0</v>
      </c>
      <c r="Q69" s="215">
        <f t="shared" si="26"/>
        <v>839.1796875</v>
      </c>
      <c r="R69" s="215">
        <f t="shared" si="27"/>
        <v>84.765625</v>
      </c>
      <c r="S69" s="215">
        <f t="shared" si="28"/>
        <v>150.8203125</v>
      </c>
      <c r="T69" s="215">
        <f t="shared" si="29"/>
        <v>15.234375</v>
      </c>
      <c r="U69" s="217" t="s">
        <v>507</v>
      </c>
      <c r="V69" s="228"/>
    </row>
    <row r="70" spans="1:22" s="229" customFormat="1" ht="12" customHeight="1" x14ac:dyDescent="0.2">
      <c r="A70" s="489"/>
      <c r="B70" s="33">
        <v>54</v>
      </c>
      <c r="C70" s="220" t="s">
        <v>566</v>
      </c>
      <c r="D70" s="227">
        <v>1312</v>
      </c>
      <c r="E70" s="216">
        <v>0</v>
      </c>
      <c r="F70" s="216">
        <v>0</v>
      </c>
      <c r="G70" s="216">
        <v>147.55015197568389</v>
      </c>
      <c r="H70" s="216">
        <v>11.246200607902736</v>
      </c>
      <c r="I70" s="215">
        <v>0</v>
      </c>
      <c r="J70" s="215">
        <v>0</v>
      </c>
      <c r="K70" s="215">
        <v>992.97264437689978</v>
      </c>
      <c r="L70" s="215">
        <v>75.683890577507611</v>
      </c>
      <c r="M70" s="216">
        <v>0</v>
      </c>
      <c r="N70" s="216">
        <v>0</v>
      </c>
      <c r="O70" s="215">
        <v>0</v>
      </c>
      <c r="P70" s="215">
        <v>0</v>
      </c>
      <c r="Q70" s="215">
        <f t="shared" si="26"/>
        <v>1140.5227963525836</v>
      </c>
      <c r="R70" s="215">
        <f t="shared" si="27"/>
        <v>86.930091185410333</v>
      </c>
      <c r="S70" s="215">
        <f t="shared" si="28"/>
        <v>171.47720364741645</v>
      </c>
      <c r="T70" s="215">
        <f t="shared" si="29"/>
        <v>13.069908814589652</v>
      </c>
      <c r="U70" s="217" t="s">
        <v>507</v>
      </c>
      <c r="V70" s="228"/>
    </row>
    <row r="71" spans="1:22" s="229" customFormat="1" ht="12" customHeight="1" x14ac:dyDescent="0.2">
      <c r="A71" s="489"/>
      <c r="B71" s="33">
        <v>55</v>
      </c>
      <c r="C71" s="220" t="s">
        <v>567</v>
      </c>
      <c r="D71" s="227">
        <v>1558</v>
      </c>
      <c r="E71" s="216">
        <v>0</v>
      </c>
      <c r="F71" s="216">
        <v>0</v>
      </c>
      <c r="G71" s="216">
        <v>1558</v>
      </c>
      <c r="H71" s="216">
        <v>100</v>
      </c>
      <c r="I71" s="215">
        <v>0</v>
      </c>
      <c r="J71" s="215">
        <v>0</v>
      </c>
      <c r="K71" s="215">
        <v>0</v>
      </c>
      <c r="L71" s="215">
        <v>0</v>
      </c>
      <c r="M71" s="216">
        <v>0</v>
      </c>
      <c r="N71" s="216">
        <v>0</v>
      </c>
      <c r="O71" s="215">
        <v>0</v>
      </c>
      <c r="P71" s="215">
        <v>0</v>
      </c>
      <c r="Q71" s="215">
        <f t="shared" si="26"/>
        <v>1558</v>
      </c>
      <c r="R71" s="215">
        <f t="shared" si="27"/>
        <v>100</v>
      </c>
      <c r="S71" s="215">
        <f t="shared" si="28"/>
        <v>0</v>
      </c>
      <c r="T71" s="215">
        <f t="shared" si="29"/>
        <v>0</v>
      </c>
      <c r="U71" s="217" t="s">
        <v>507</v>
      </c>
      <c r="V71" s="228"/>
    </row>
    <row r="72" spans="1:22" s="229" customFormat="1" ht="12" customHeight="1" x14ac:dyDescent="0.2">
      <c r="A72" s="489"/>
      <c r="B72" s="33">
        <v>56</v>
      </c>
      <c r="C72" s="214" t="s">
        <v>568</v>
      </c>
      <c r="D72" s="227">
        <v>1220</v>
      </c>
      <c r="E72" s="216">
        <v>0</v>
      </c>
      <c r="F72" s="216">
        <v>0</v>
      </c>
      <c r="G72" s="216">
        <v>1146.9461077844312</v>
      </c>
      <c r="H72" s="216">
        <v>94.011976047904199</v>
      </c>
      <c r="I72" s="215">
        <v>0</v>
      </c>
      <c r="J72" s="215">
        <v>0</v>
      </c>
      <c r="K72" s="215">
        <v>0</v>
      </c>
      <c r="L72" s="215">
        <v>0</v>
      </c>
      <c r="M72" s="216">
        <v>0</v>
      </c>
      <c r="N72" s="216">
        <v>0</v>
      </c>
      <c r="O72" s="215">
        <v>0</v>
      </c>
      <c r="P72" s="215">
        <v>0</v>
      </c>
      <c r="Q72" s="215">
        <f t="shared" si="26"/>
        <v>1146.9461077844312</v>
      </c>
      <c r="R72" s="215">
        <f t="shared" si="27"/>
        <v>94.011976047904199</v>
      </c>
      <c r="S72" s="215">
        <f t="shared" si="28"/>
        <v>73.053892215568794</v>
      </c>
      <c r="T72" s="215">
        <f t="shared" si="29"/>
        <v>5.9880239520958014</v>
      </c>
      <c r="U72" s="217" t="s">
        <v>507</v>
      </c>
      <c r="V72" s="228"/>
    </row>
    <row r="73" spans="1:22" s="229" customFormat="1" ht="12" customHeight="1" x14ac:dyDescent="0.2">
      <c r="A73" s="489"/>
      <c r="B73" s="33">
        <v>57</v>
      </c>
      <c r="C73" s="214" t="s">
        <v>569</v>
      </c>
      <c r="D73" s="227">
        <v>1425</v>
      </c>
      <c r="E73" s="216">
        <v>1425</v>
      </c>
      <c r="F73" s="216">
        <v>100</v>
      </c>
      <c r="G73" s="216">
        <v>0</v>
      </c>
      <c r="H73" s="216">
        <v>0</v>
      </c>
      <c r="I73" s="215">
        <v>0</v>
      </c>
      <c r="J73" s="215">
        <v>0</v>
      </c>
      <c r="K73" s="215">
        <v>0</v>
      </c>
      <c r="L73" s="215">
        <v>0</v>
      </c>
      <c r="M73" s="216">
        <v>0</v>
      </c>
      <c r="N73" s="216">
        <v>0</v>
      </c>
      <c r="O73" s="215">
        <v>0</v>
      </c>
      <c r="P73" s="215">
        <v>0</v>
      </c>
      <c r="Q73" s="215">
        <f t="shared" si="26"/>
        <v>1425</v>
      </c>
      <c r="R73" s="215">
        <f t="shared" si="27"/>
        <v>100</v>
      </c>
      <c r="S73" s="215">
        <f t="shared" si="28"/>
        <v>0</v>
      </c>
      <c r="T73" s="215">
        <f t="shared" si="29"/>
        <v>0</v>
      </c>
      <c r="U73" s="217" t="s">
        <v>507</v>
      </c>
      <c r="V73" s="228"/>
    </row>
    <row r="74" spans="1:22" s="229" customFormat="1" ht="12" customHeight="1" x14ac:dyDescent="0.2">
      <c r="A74" s="489"/>
      <c r="B74" s="33">
        <v>58</v>
      </c>
      <c r="C74" s="214" t="s">
        <v>570</v>
      </c>
      <c r="D74" s="227">
        <v>2442</v>
      </c>
      <c r="E74" s="216">
        <v>2410.4903225806452</v>
      </c>
      <c r="F74" s="216">
        <v>98.709677419354833</v>
      </c>
      <c r="G74" s="216">
        <v>0</v>
      </c>
      <c r="H74" s="216">
        <v>0</v>
      </c>
      <c r="I74" s="215">
        <v>0</v>
      </c>
      <c r="J74" s="215">
        <v>0</v>
      </c>
      <c r="K74" s="215">
        <v>0</v>
      </c>
      <c r="L74" s="215">
        <v>0</v>
      </c>
      <c r="M74" s="216">
        <v>0</v>
      </c>
      <c r="N74" s="216">
        <v>0</v>
      </c>
      <c r="O74" s="215">
        <v>0</v>
      </c>
      <c r="P74" s="215">
        <v>0</v>
      </c>
      <c r="Q74" s="215">
        <f t="shared" si="26"/>
        <v>2410.4903225806452</v>
      </c>
      <c r="R74" s="215">
        <f t="shared" si="27"/>
        <v>98.709677419354833</v>
      </c>
      <c r="S74" s="215">
        <f t="shared" si="28"/>
        <v>31.50967741935483</v>
      </c>
      <c r="T74" s="215">
        <f t="shared" si="29"/>
        <v>1.2903225806451672</v>
      </c>
      <c r="U74" s="217" t="s">
        <v>507</v>
      </c>
      <c r="V74" s="228"/>
    </row>
    <row r="75" spans="1:22" s="229" customFormat="1" ht="12" customHeight="1" x14ac:dyDescent="0.2">
      <c r="A75" s="489"/>
      <c r="B75" s="33">
        <v>59</v>
      </c>
      <c r="C75" s="214" t="s">
        <v>571</v>
      </c>
      <c r="D75" s="227">
        <v>1094</v>
      </c>
      <c r="E75" s="216">
        <v>1094</v>
      </c>
      <c r="F75" s="216">
        <v>100</v>
      </c>
      <c r="G75" s="216">
        <v>0</v>
      </c>
      <c r="H75" s="216">
        <v>0</v>
      </c>
      <c r="I75" s="215">
        <v>0</v>
      </c>
      <c r="J75" s="215">
        <v>0</v>
      </c>
      <c r="K75" s="215">
        <v>0</v>
      </c>
      <c r="L75" s="215">
        <v>0</v>
      </c>
      <c r="M75" s="216">
        <v>0</v>
      </c>
      <c r="N75" s="216">
        <v>0</v>
      </c>
      <c r="O75" s="215">
        <v>0</v>
      </c>
      <c r="P75" s="215">
        <v>0</v>
      </c>
      <c r="Q75" s="215">
        <f t="shared" si="26"/>
        <v>1094</v>
      </c>
      <c r="R75" s="215">
        <f t="shared" si="27"/>
        <v>100</v>
      </c>
      <c r="S75" s="215">
        <f t="shared" si="28"/>
        <v>0</v>
      </c>
      <c r="T75" s="215">
        <f t="shared" si="29"/>
        <v>0</v>
      </c>
      <c r="U75" s="217" t="s">
        <v>507</v>
      </c>
      <c r="V75" s="228"/>
    </row>
    <row r="76" spans="1:22" ht="12" customHeight="1" x14ac:dyDescent="0.25">
      <c r="A76" s="490"/>
      <c r="B76" s="471" t="s">
        <v>23</v>
      </c>
      <c r="C76" s="471"/>
      <c r="D76" s="224">
        <f>SUM(D68:D75)</f>
        <v>12030</v>
      </c>
      <c r="E76" s="224">
        <f t="shared" ref="E76:S76" si="30">SUM(E68:E75)</f>
        <v>4929.4903225806447</v>
      </c>
      <c r="F76" s="224">
        <f>E76/D76*100</f>
        <v>40.976644410479174</v>
      </c>
      <c r="G76" s="224">
        <f t="shared" si="30"/>
        <v>3063.6792410318922</v>
      </c>
      <c r="H76" s="224">
        <f>G76/D76*100</f>
        <v>25.466992859782977</v>
      </c>
      <c r="I76" s="224">
        <f t="shared" si="30"/>
        <v>707.6953125</v>
      </c>
      <c r="J76" s="224">
        <f>I76/D76*100</f>
        <v>5.8827540523690773</v>
      </c>
      <c r="K76" s="224">
        <f t="shared" si="30"/>
        <v>2611.2008673734153</v>
      </c>
      <c r="L76" s="224">
        <f>K76/D76*100</f>
        <v>21.705742870934458</v>
      </c>
      <c r="M76" s="224">
        <f t="shared" si="30"/>
        <v>0</v>
      </c>
      <c r="N76" s="224">
        <f>M76/D76*100</f>
        <v>0</v>
      </c>
      <c r="O76" s="224">
        <f t="shared" si="30"/>
        <v>0</v>
      </c>
      <c r="P76" s="224">
        <f>O76/D76*100</f>
        <v>0</v>
      </c>
      <c r="Q76" s="224">
        <f t="shared" si="30"/>
        <v>11312.065743485953</v>
      </c>
      <c r="R76" s="224">
        <f t="shared" si="27"/>
        <v>94.032134193565696</v>
      </c>
      <c r="S76" s="224">
        <f t="shared" si="30"/>
        <v>717.93425651404755</v>
      </c>
      <c r="T76" s="224">
        <f>S76/D76*100</f>
        <v>5.9678658064343102</v>
      </c>
      <c r="U76" s="225"/>
      <c r="V76" s="225"/>
    </row>
    <row r="77" spans="1:22" ht="12.2" customHeight="1" x14ac:dyDescent="0.25">
      <c r="A77" s="488">
        <v>8</v>
      </c>
      <c r="B77" s="470" t="s">
        <v>572</v>
      </c>
      <c r="C77" s="470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1"/>
      <c r="V77" s="1"/>
    </row>
    <row r="78" spans="1:22" s="229" customFormat="1" ht="12" customHeight="1" x14ac:dyDescent="0.2">
      <c r="A78" s="489"/>
      <c r="B78" s="33">
        <v>60</v>
      </c>
      <c r="C78" s="230" t="s">
        <v>573</v>
      </c>
      <c r="D78" s="227">
        <v>2036</v>
      </c>
      <c r="E78" s="216">
        <v>0</v>
      </c>
      <c r="F78" s="216">
        <v>0</v>
      </c>
      <c r="G78" s="216">
        <v>239.52941176470591</v>
      </c>
      <c r="H78" s="216">
        <v>11.764705882352942</v>
      </c>
      <c r="I78" s="215">
        <v>1700.6588235294118</v>
      </c>
      <c r="J78" s="215">
        <v>83.529411764705884</v>
      </c>
      <c r="K78" s="215">
        <v>0</v>
      </c>
      <c r="L78" s="215">
        <v>0</v>
      </c>
      <c r="M78" s="216">
        <v>0</v>
      </c>
      <c r="N78" s="216">
        <v>0</v>
      </c>
      <c r="O78" s="215">
        <v>0</v>
      </c>
      <c r="P78" s="215">
        <v>0</v>
      </c>
      <c r="Q78" s="215">
        <f>E78+G78+I78+K78+M78+O78</f>
        <v>1940.1882352941177</v>
      </c>
      <c r="R78" s="215">
        <f t="shared" ref="R78:R84" si="31">Q78/D78*100</f>
        <v>95.294117647058826</v>
      </c>
      <c r="S78" s="215">
        <f>D78-Q78</f>
        <v>95.811764705882297</v>
      </c>
      <c r="T78" s="215">
        <f>100-(F78+H78+J78+L78+N78+P78)</f>
        <v>4.705882352941174</v>
      </c>
      <c r="U78" s="217" t="s">
        <v>507</v>
      </c>
      <c r="V78" s="228"/>
    </row>
    <row r="79" spans="1:22" s="229" customFormat="1" ht="12" customHeight="1" x14ac:dyDescent="0.2">
      <c r="A79" s="489"/>
      <c r="B79" s="33">
        <v>61</v>
      </c>
      <c r="C79" s="230" t="s">
        <v>574</v>
      </c>
      <c r="D79" s="227">
        <v>2280</v>
      </c>
      <c r="E79" s="216">
        <v>0</v>
      </c>
      <c r="F79" s="216">
        <v>0</v>
      </c>
      <c r="G79" s="216">
        <v>208.40950639853747</v>
      </c>
      <c r="H79" s="216">
        <v>9.1407678244972583</v>
      </c>
      <c r="I79" s="215">
        <v>1308.8117001828155</v>
      </c>
      <c r="J79" s="215">
        <v>57.404021937842785</v>
      </c>
      <c r="K79" s="215">
        <v>541.8647166361975</v>
      </c>
      <c r="L79" s="215">
        <v>23.765996343692873</v>
      </c>
      <c r="M79" s="216">
        <v>0</v>
      </c>
      <c r="N79" s="216">
        <v>0</v>
      </c>
      <c r="O79" s="215">
        <v>0</v>
      </c>
      <c r="P79" s="215">
        <v>0</v>
      </c>
      <c r="Q79" s="215">
        <f>E79+G79+I79+K79+M79+O79</f>
        <v>2059.0859232175503</v>
      </c>
      <c r="R79" s="215">
        <f t="shared" si="31"/>
        <v>90.310786106032907</v>
      </c>
      <c r="S79" s="215">
        <f>D79-Q79</f>
        <v>220.91407678244968</v>
      </c>
      <c r="T79" s="215">
        <f>100-(F79+H79+J79+L79+N79+P79)</f>
        <v>9.6892138939670787</v>
      </c>
      <c r="U79" s="217" t="s">
        <v>507</v>
      </c>
      <c r="V79" s="228"/>
    </row>
    <row r="80" spans="1:22" s="229" customFormat="1" ht="12" customHeight="1" x14ac:dyDescent="0.2">
      <c r="A80" s="489"/>
      <c r="B80" s="33">
        <v>62</v>
      </c>
      <c r="C80" s="230" t="s">
        <v>575</v>
      </c>
      <c r="D80" s="227">
        <v>1707</v>
      </c>
      <c r="E80" s="216">
        <v>0</v>
      </c>
      <c r="F80" s="216">
        <v>0</v>
      </c>
      <c r="G80" s="216">
        <v>201.7730496453901</v>
      </c>
      <c r="H80" s="216">
        <v>11.820330969267141</v>
      </c>
      <c r="I80" s="215">
        <v>217.91489361702131</v>
      </c>
      <c r="J80" s="215">
        <v>12.765957446808512</v>
      </c>
      <c r="K80" s="215">
        <v>1113.7872340425533</v>
      </c>
      <c r="L80" s="215">
        <v>65.248226950354621</v>
      </c>
      <c r="M80" s="216">
        <v>0</v>
      </c>
      <c r="N80" s="216">
        <v>0</v>
      </c>
      <c r="O80" s="215">
        <v>0</v>
      </c>
      <c r="P80" s="215">
        <v>0</v>
      </c>
      <c r="Q80" s="215">
        <f>E80+G80+I80+K80+M80+O80</f>
        <v>1533.4751773049647</v>
      </c>
      <c r="R80" s="215">
        <f t="shared" si="31"/>
        <v>89.834515366430267</v>
      </c>
      <c r="S80" s="215">
        <f>D80-Q80</f>
        <v>173.52482269503525</v>
      </c>
      <c r="T80" s="215">
        <f>100-(F80+H80+J80+L80+N80+P80)</f>
        <v>10.165484633569719</v>
      </c>
      <c r="U80" s="217" t="s">
        <v>507</v>
      </c>
      <c r="V80" s="228"/>
    </row>
    <row r="81" spans="1:22" s="229" customFormat="1" ht="12" customHeight="1" x14ac:dyDescent="0.2">
      <c r="A81" s="489"/>
      <c r="B81" s="33">
        <v>63</v>
      </c>
      <c r="C81" s="230" t="s">
        <v>576</v>
      </c>
      <c r="D81" s="227">
        <v>2669</v>
      </c>
      <c r="E81" s="216">
        <v>0</v>
      </c>
      <c r="F81" s="216">
        <v>0</v>
      </c>
      <c r="G81" s="216">
        <v>0</v>
      </c>
      <c r="H81" s="216">
        <v>0</v>
      </c>
      <c r="I81" s="215">
        <v>1219.6092715231789</v>
      </c>
      <c r="J81" s="215">
        <v>45.695364238410605</v>
      </c>
      <c r="K81" s="215">
        <v>919.12582781456956</v>
      </c>
      <c r="L81" s="215">
        <v>34.437086092715234</v>
      </c>
      <c r="M81" s="216">
        <v>0</v>
      </c>
      <c r="N81" s="216">
        <v>0</v>
      </c>
      <c r="O81" s="215">
        <v>0</v>
      </c>
      <c r="P81" s="215">
        <v>0</v>
      </c>
      <c r="Q81" s="215">
        <f>E81+G81+I81+K81+M81+O81</f>
        <v>2138.7350993377486</v>
      </c>
      <c r="R81" s="215">
        <f t="shared" si="31"/>
        <v>80.132450331125838</v>
      </c>
      <c r="S81" s="215">
        <f>D81-Q81</f>
        <v>530.26490066225142</v>
      </c>
      <c r="T81" s="215">
        <f>100-(F81+H81+J81+L81+N81+P81)</f>
        <v>19.867549668874162</v>
      </c>
      <c r="U81" s="228"/>
      <c r="V81" s="217" t="s">
        <v>507</v>
      </c>
    </row>
    <row r="82" spans="1:22" s="229" customFormat="1" ht="12" customHeight="1" x14ac:dyDescent="0.2">
      <c r="A82" s="489"/>
      <c r="B82" s="33">
        <v>64</v>
      </c>
      <c r="C82" s="230" t="s">
        <v>577</v>
      </c>
      <c r="D82" s="227">
        <v>1427</v>
      </c>
      <c r="E82" s="216">
        <v>0</v>
      </c>
      <c r="F82" s="216">
        <v>0</v>
      </c>
      <c r="G82" s="216">
        <v>209.23753665689148</v>
      </c>
      <c r="H82" s="216">
        <v>14.662756598240467</v>
      </c>
      <c r="I82" s="215">
        <v>0</v>
      </c>
      <c r="J82" s="215">
        <v>0</v>
      </c>
      <c r="K82" s="215">
        <v>895.53665689149557</v>
      </c>
      <c r="L82" s="215">
        <v>62.756598240469209</v>
      </c>
      <c r="M82" s="216">
        <v>0</v>
      </c>
      <c r="N82" s="216">
        <v>0</v>
      </c>
      <c r="O82" s="215">
        <v>0</v>
      </c>
      <c r="P82" s="215">
        <v>0</v>
      </c>
      <c r="Q82" s="215">
        <f>E82+G82+I82+K82+M82+O82</f>
        <v>1104.7741935483871</v>
      </c>
      <c r="R82" s="215">
        <f t="shared" si="31"/>
        <v>77.41935483870968</v>
      </c>
      <c r="S82" s="215">
        <f>D82-Q82</f>
        <v>322.22580645161293</v>
      </c>
      <c r="T82" s="215">
        <f>100-(F82+H82+J82+L82+N82+P82)</f>
        <v>22.58064516129032</v>
      </c>
      <c r="U82" s="217" t="s">
        <v>507</v>
      </c>
      <c r="V82" s="228"/>
    </row>
    <row r="83" spans="1:22" ht="12" customHeight="1" x14ac:dyDescent="0.25">
      <c r="A83" s="490"/>
      <c r="B83" s="471" t="s">
        <v>23</v>
      </c>
      <c r="C83" s="471"/>
      <c r="D83" s="224">
        <f>SUM(D78:D82)</f>
        <v>10119</v>
      </c>
      <c r="E83" s="224">
        <f t="shared" ref="E83:S83" si="32">SUM(E78:E82)</f>
        <v>0</v>
      </c>
      <c r="F83" s="224">
        <f t="shared" si="32"/>
        <v>0</v>
      </c>
      <c r="G83" s="224">
        <f t="shared" si="32"/>
        <v>858.94950446552502</v>
      </c>
      <c r="H83" s="224">
        <f>G83/D83*100</f>
        <v>8.4884821075751073</v>
      </c>
      <c r="I83" s="224">
        <f t="shared" si="32"/>
        <v>4446.9946888524273</v>
      </c>
      <c r="J83" s="224">
        <f>I83/D83*100</f>
        <v>43.946977852084466</v>
      </c>
      <c r="K83" s="224">
        <f t="shared" si="32"/>
        <v>3470.3144353848161</v>
      </c>
      <c r="L83" s="224">
        <f>K83/D83*100</f>
        <v>34.295033455725033</v>
      </c>
      <c r="M83" s="224">
        <f t="shared" si="32"/>
        <v>0</v>
      </c>
      <c r="N83" s="224">
        <f>M83/D83*100</f>
        <v>0</v>
      </c>
      <c r="O83" s="224">
        <f t="shared" si="32"/>
        <v>0</v>
      </c>
      <c r="P83" s="224">
        <f>O83/D83*100</f>
        <v>0</v>
      </c>
      <c r="Q83" s="224">
        <f t="shared" si="32"/>
        <v>8776.258628702768</v>
      </c>
      <c r="R83" s="224">
        <f t="shared" si="31"/>
        <v>86.730493415384601</v>
      </c>
      <c r="S83" s="224">
        <f t="shared" si="32"/>
        <v>1342.7413712972316</v>
      </c>
      <c r="T83" s="224">
        <f>S83/D83*100</f>
        <v>13.269506584615392</v>
      </c>
      <c r="U83" s="225"/>
      <c r="V83" s="225"/>
    </row>
    <row r="84" spans="1:22" ht="12.2" customHeight="1" x14ac:dyDescent="0.25">
      <c r="A84" s="231"/>
      <c r="B84" s="491" t="s">
        <v>25</v>
      </c>
      <c r="C84" s="491"/>
      <c r="D84" s="224">
        <f>D20+D31+D39+D45+D54+D66+D76+D83</f>
        <v>138729</v>
      </c>
      <c r="E84" s="224">
        <f t="shared" ref="E84:S84" si="33">E20+E31+E39+E45+E54+E66+E76+E83</f>
        <v>58828.537862499288</v>
      </c>
      <c r="F84" s="224">
        <f>E84/D84*100</f>
        <v>42.405364316400529</v>
      </c>
      <c r="G84" s="224">
        <f t="shared" si="33"/>
        <v>14447.594630200889</v>
      </c>
      <c r="H84" s="224">
        <f>G84/D84*100</f>
        <v>10.41425702643347</v>
      </c>
      <c r="I84" s="224">
        <f t="shared" si="33"/>
        <v>29681.684268433255</v>
      </c>
      <c r="J84" s="224">
        <f>I84/D84*100</f>
        <v>21.395443107377158</v>
      </c>
      <c r="K84" s="224">
        <f t="shared" si="33"/>
        <v>27809.182581458113</v>
      </c>
      <c r="L84" s="224">
        <f>K84/D84*100</f>
        <v>20.045688054738456</v>
      </c>
      <c r="M84" s="224">
        <f t="shared" si="33"/>
        <v>0</v>
      </c>
      <c r="N84" s="224">
        <f>M84/D84*100</f>
        <v>0</v>
      </c>
      <c r="O84" s="224">
        <f t="shared" si="33"/>
        <v>732.45036133930807</v>
      </c>
      <c r="P84" s="224">
        <f>O84/D84*100</f>
        <v>0.52797206160161758</v>
      </c>
      <c r="Q84" s="224">
        <f t="shared" si="33"/>
        <v>131499.44970393088</v>
      </c>
      <c r="R84" s="224">
        <f t="shared" si="31"/>
        <v>94.788724566551238</v>
      </c>
      <c r="S84" s="224">
        <f t="shared" si="33"/>
        <v>7229.5502960691556</v>
      </c>
      <c r="T84" s="224">
        <f>S84/D84*100</f>
        <v>5.2112754334487779</v>
      </c>
      <c r="U84" s="225"/>
      <c r="V84" s="225"/>
    </row>
  </sheetData>
  <mergeCells count="39">
    <mergeCell ref="B84:C84"/>
    <mergeCell ref="A67:A76"/>
    <mergeCell ref="B67:C67"/>
    <mergeCell ref="B76:C76"/>
    <mergeCell ref="A77:A83"/>
    <mergeCell ref="B77:C77"/>
    <mergeCell ref="B83:C83"/>
    <mergeCell ref="A46:A54"/>
    <mergeCell ref="B46:C46"/>
    <mergeCell ref="B54:C54"/>
    <mergeCell ref="A55:A66"/>
    <mergeCell ref="B55:C55"/>
    <mergeCell ref="B66:C66"/>
    <mergeCell ref="A32:A39"/>
    <mergeCell ref="B32:C32"/>
    <mergeCell ref="B39:C39"/>
    <mergeCell ref="A40:A45"/>
    <mergeCell ref="B40:C40"/>
    <mergeCell ref="B45:C45"/>
    <mergeCell ref="A4:A20"/>
    <mergeCell ref="B4:C4"/>
    <mergeCell ref="B20:C20"/>
    <mergeCell ref="A21:A31"/>
    <mergeCell ref="B21:C21"/>
    <mergeCell ref="B31:C31"/>
    <mergeCell ref="S1:T2"/>
    <mergeCell ref="U1:V2"/>
    <mergeCell ref="E2:F2"/>
    <mergeCell ref="G2:H2"/>
    <mergeCell ref="I2:J2"/>
    <mergeCell ref="K2:L2"/>
    <mergeCell ref="M2:N2"/>
    <mergeCell ref="O2:P2"/>
    <mergeCell ref="Q1:R2"/>
    <mergeCell ref="A1:A3"/>
    <mergeCell ref="B1:C3"/>
    <mergeCell ref="D1:D3"/>
    <mergeCell ref="E1:H1"/>
    <mergeCell ref="I1:P1"/>
  </mergeCells>
  <pageMargins left="0.25" right="0.25" top="0.75" bottom="0.75" header="0.3" footer="0.3"/>
  <pageSetup paperSize="175" scale="97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58"/>
  <sheetViews>
    <sheetView view="pageBreakPreview" topLeftCell="D1" zoomScale="115" zoomScaleNormal="90" zoomScaleSheetLayoutView="115" workbookViewId="0">
      <selection activeCell="R157" sqref="R157"/>
    </sheetView>
  </sheetViews>
  <sheetFormatPr defaultRowHeight="15" x14ac:dyDescent="0.25"/>
  <cols>
    <col min="1" max="1" width="4.7109375" customWidth="1"/>
    <col min="2" max="2" width="3.140625" style="15" customWidth="1"/>
    <col min="3" max="3" width="23" bestFit="1" customWidth="1"/>
    <col min="4" max="4" width="9.85546875" customWidth="1"/>
    <col min="5" max="5" width="10.42578125" customWidth="1"/>
    <col min="6" max="6" width="6.140625" customWidth="1"/>
    <col min="7" max="7" width="8.140625" customWidth="1"/>
    <col min="8" max="8" width="6.140625" customWidth="1"/>
    <col min="9" max="9" width="8.5703125" customWidth="1"/>
    <col min="10" max="10" width="6.28515625" style="247" customWidth="1"/>
    <col min="11" max="11" width="7.85546875" customWidth="1"/>
    <col min="12" max="12" width="6.28515625" customWidth="1"/>
    <col min="13" max="13" width="7" customWidth="1"/>
    <col min="14" max="14" width="6.140625" customWidth="1"/>
    <col min="15" max="15" width="7" customWidth="1"/>
    <col min="16" max="16" width="6.28515625" customWidth="1"/>
    <col min="17" max="17" width="9.28515625" customWidth="1"/>
    <col min="18" max="18" width="8.28515625" customWidth="1"/>
    <col min="19" max="19" width="8.5703125" customWidth="1"/>
    <col min="20" max="20" width="6.42578125" style="248" customWidth="1"/>
    <col min="21" max="21" width="7.7109375" customWidth="1"/>
    <col min="22" max="22" width="6.42578125" customWidth="1"/>
    <col min="257" max="257" width="4.7109375" customWidth="1"/>
    <col min="258" max="258" width="3.140625" customWidth="1"/>
    <col min="259" max="259" width="23" bestFit="1" customWidth="1"/>
    <col min="260" max="260" width="9.85546875" customWidth="1"/>
    <col min="261" max="261" width="10.42578125" customWidth="1"/>
    <col min="262" max="262" width="6.140625" customWidth="1"/>
    <col min="263" max="263" width="8.140625" customWidth="1"/>
    <col min="264" max="264" width="6.140625" customWidth="1"/>
    <col min="265" max="265" width="8.5703125" customWidth="1"/>
    <col min="266" max="266" width="6.28515625" customWidth="1"/>
    <col min="267" max="267" width="7.85546875" customWidth="1"/>
    <col min="268" max="268" width="6.28515625" customWidth="1"/>
    <col min="269" max="269" width="7" customWidth="1"/>
    <col min="270" max="270" width="6.140625" customWidth="1"/>
    <col min="271" max="271" width="7" customWidth="1"/>
    <col min="272" max="272" width="6.28515625" customWidth="1"/>
    <col min="273" max="273" width="9.28515625" customWidth="1"/>
    <col min="274" max="274" width="6.28515625" customWidth="1"/>
    <col min="275" max="275" width="8.5703125" customWidth="1"/>
    <col min="276" max="276" width="6.42578125" customWidth="1"/>
    <col min="277" max="277" width="7.7109375" customWidth="1"/>
    <col min="278" max="278" width="6.42578125" customWidth="1"/>
    <col min="513" max="513" width="4.7109375" customWidth="1"/>
    <col min="514" max="514" width="3.140625" customWidth="1"/>
    <col min="515" max="515" width="23" bestFit="1" customWidth="1"/>
    <col min="516" max="516" width="9.85546875" customWidth="1"/>
    <col min="517" max="517" width="10.42578125" customWidth="1"/>
    <col min="518" max="518" width="6.140625" customWidth="1"/>
    <col min="519" max="519" width="8.140625" customWidth="1"/>
    <col min="520" max="520" width="6.140625" customWidth="1"/>
    <col min="521" max="521" width="8.5703125" customWidth="1"/>
    <col min="522" max="522" width="6.28515625" customWidth="1"/>
    <col min="523" max="523" width="7.85546875" customWidth="1"/>
    <col min="524" max="524" width="6.28515625" customWidth="1"/>
    <col min="525" max="525" width="7" customWidth="1"/>
    <col min="526" max="526" width="6.140625" customWidth="1"/>
    <col min="527" max="527" width="7" customWidth="1"/>
    <col min="528" max="528" width="6.28515625" customWidth="1"/>
    <col min="529" max="529" width="9.28515625" customWidth="1"/>
    <col min="530" max="530" width="6.28515625" customWidth="1"/>
    <col min="531" max="531" width="8.5703125" customWidth="1"/>
    <col min="532" max="532" width="6.42578125" customWidth="1"/>
    <col min="533" max="533" width="7.7109375" customWidth="1"/>
    <col min="534" max="534" width="6.42578125" customWidth="1"/>
    <col min="769" max="769" width="4.7109375" customWidth="1"/>
    <col min="770" max="770" width="3.140625" customWidth="1"/>
    <col min="771" max="771" width="23" bestFit="1" customWidth="1"/>
    <col min="772" max="772" width="9.85546875" customWidth="1"/>
    <col min="773" max="773" width="10.42578125" customWidth="1"/>
    <col min="774" max="774" width="6.140625" customWidth="1"/>
    <col min="775" max="775" width="8.140625" customWidth="1"/>
    <col min="776" max="776" width="6.140625" customWidth="1"/>
    <col min="777" max="777" width="8.5703125" customWidth="1"/>
    <col min="778" max="778" width="6.28515625" customWidth="1"/>
    <col min="779" max="779" width="7.85546875" customWidth="1"/>
    <col min="780" max="780" width="6.28515625" customWidth="1"/>
    <col min="781" max="781" width="7" customWidth="1"/>
    <col min="782" max="782" width="6.140625" customWidth="1"/>
    <col min="783" max="783" width="7" customWidth="1"/>
    <col min="784" max="784" width="6.28515625" customWidth="1"/>
    <col min="785" max="785" width="9.28515625" customWidth="1"/>
    <col min="786" max="786" width="6.28515625" customWidth="1"/>
    <col min="787" max="787" width="8.5703125" customWidth="1"/>
    <col min="788" max="788" width="6.42578125" customWidth="1"/>
    <col min="789" max="789" width="7.7109375" customWidth="1"/>
    <col min="790" max="790" width="6.42578125" customWidth="1"/>
    <col min="1025" max="1025" width="4.7109375" customWidth="1"/>
    <col min="1026" max="1026" width="3.140625" customWidth="1"/>
    <col min="1027" max="1027" width="23" bestFit="1" customWidth="1"/>
    <col min="1028" max="1028" width="9.85546875" customWidth="1"/>
    <col min="1029" max="1029" width="10.42578125" customWidth="1"/>
    <col min="1030" max="1030" width="6.140625" customWidth="1"/>
    <col min="1031" max="1031" width="8.140625" customWidth="1"/>
    <col min="1032" max="1032" width="6.140625" customWidth="1"/>
    <col min="1033" max="1033" width="8.5703125" customWidth="1"/>
    <col min="1034" max="1034" width="6.28515625" customWidth="1"/>
    <col min="1035" max="1035" width="7.85546875" customWidth="1"/>
    <col min="1036" max="1036" width="6.28515625" customWidth="1"/>
    <col min="1037" max="1037" width="7" customWidth="1"/>
    <col min="1038" max="1038" width="6.140625" customWidth="1"/>
    <col min="1039" max="1039" width="7" customWidth="1"/>
    <col min="1040" max="1040" width="6.28515625" customWidth="1"/>
    <col min="1041" max="1041" width="9.28515625" customWidth="1"/>
    <col min="1042" max="1042" width="6.28515625" customWidth="1"/>
    <col min="1043" max="1043" width="8.5703125" customWidth="1"/>
    <col min="1044" max="1044" width="6.42578125" customWidth="1"/>
    <col min="1045" max="1045" width="7.7109375" customWidth="1"/>
    <col min="1046" max="1046" width="6.42578125" customWidth="1"/>
    <col min="1281" max="1281" width="4.7109375" customWidth="1"/>
    <col min="1282" max="1282" width="3.140625" customWidth="1"/>
    <col min="1283" max="1283" width="23" bestFit="1" customWidth="1"/>
    <col min="1284" max="1284" width="9.85546875" customWidth="1"/>
    <col min="1285" max="1285" width="10.42578125" customWidth="1"/>
    <col min="1286" max="1286" width="6.140625" customWidth="1"/>
    <col min="1287" max="1287" width="8.140625" customWidth="1"/>
    <col min="1288" max="1288" width="6.140625" customWidth="1"/>
    <col min="1289" max="1289" width="8.5703125" customWidth="1"/>
    <col min="1290" max="1290" width="6.28515625" customWidth="1"/>
    <col min="1291" max="1291" width="7.85546875" customWidth="1"/>
    <col min="1292" max="1292" width="6.28515625" customWidth="1"/>
    <col min="1293" max="1293" width="7" customWidth="1"/>
    <col min="1294" max="1294" width="6.140625" customWidth="1"/>
    <col min="1295" max="1295" width="7" customWidth="1"/>
    <col min="1296" max="1296" width="6.28515625" customWidth="1"/>
    <col min="1297" max="1297" width="9.28515625" customWidth="1"/>
    <col min="1298" max="1298" width="6.28515625" customWidth="1"/>
    <col min="1299" max="1299" width="8.5703125" customWidth="1"/>
    <col min="1300" max="1300" width="6.42578125" customWidth="1"/>
    <col min="1301" max="1301" width="7.7109375" customWidth="1"/>
    <col min="1302" max="1302" width="6.42578125" customWidth="1"/>
    <col min="1537" max="1537" width="4.7109375" customWidth="1"/>
    <col min="1538" max="1538" width="3.140625" customWidth="1"/>
    <col min="1539" max="1539" width="23" bestFit="1" customWidth="1"/>
    <col min="1540" max="1540" width="9.85546875" customWidth="1"/>
    <col min="1541" max="1541" width="10.42578125" customWidth="1"/>
    <col min="1542" max="1542" width="6.140625" customWidth="1"/>
    <col min="1543" max="1543" width="8.140625" customWidth="1"/>
    <col min="1544" max="1544" width="6.140625" customWidth="1"/>
    <col min="1545" max="1545" width="8.5703125" customWidth="1"/>
    <col min="1546" max="1546" width="6.28515625" customWidth="1"/>
    <col min="1547" max="1547" width="7.85546875" customWidth="1"/>
    <col min="1548" max="1548" width="6.28515625" customWidth="1"/>
    <col min="1549" max="1549" width="7" customWidth="1"/>
    <col min="1550" max="1550" width="6.140625" customWidth="1"/>
    <col min="1551" max="1551" width="7" customWidth="1"/>
    <col min="1552" max="1552" width="6.28515625" customWidth="1"/>
    <col min="1553" max="1553" width="9.28515625" customWidth="1"/>
    <col min="1554" max="1554" width="6.28515625" customWidth="1"/>
    <col min="1555" max="1555" width="8.5703125" customWidth="1"/>
    <col min="1556" max="1556" width="6.42578125" customWidth="1"/>
    <col min="1557" max="1557" width="7.7109375" customWidth="1"/>
    <col min="1558" max="1558" width="6.42578125" customWidth="1"/>
    <col min="1793" max="1793" width="4.7109375" customWidth="1"/>
    <col min="1794" max="1794" width="3.140625" customWidth="1"/>
    <col min="1795" max="1795" width="23" bestFit="1" customWidth="1"/>
    <col min="1796" max="1796" width="9.85546875" customWidth="1"/>
    <col min="1797" max="1797" width="10.42578125" customWidth="1"/>
    <col min="1798" max="1798" width="6.140625" customWidth="1"/>
    <col min="1799" max="1799" width="8.140625" customWidth="1"/>
    <col min="1800" max="1800" width="6.140625" customWidth="1"/>
    <col min="1801" max="1801" width="8.5703125" customWidth="1"/>
    <col min="1802" max="1802" width="6.28515625" customWidth="1"/>
    <col min="1803" max="1803" width="7.85546875" customWidth="1"/>
    <col min="1804" max="1804" width="6.28515625" customWidth="1"/>
    <col min="1805" max="1805" width="7" customWidth="1"/>
    <col min="1806" max="1806" width="6.140625" customWidth="1"/>
    <col min="1807" max="1807" width="7" customWidth="1"/>
    <col min="1808" max="1808" width="6.28515625" customWidth="1"/>
    <col min="1809" max="1809" width="9.28515625" customWidth="1"/>
    <col min="1810" max="1810" width="6.28515625" customWidth="1"/>
    <col min="1811" max="1811" width="8.5703125" customWidth="1"/>
    <col min="1812" max="1812" width="6.42578125" customWidth="1"/>
    <col min="1813" max="1813" width="7.7109375" customWidth="1"/>
    <col min="1814" max="1814" width="6.42578125" customWidth="1"/>
    <col min="2049" max="2049" width="4.7109375" customWidth="1"/>
    <col min="2050" max="2050" width="3.140625" customWidth="1"/>
    <col min="2051" max="2051" width="23" bestFit="1" customWidth="1"/>
    <col min="2052" max="2052" width="9.85546875" customWidth="1"/>
    <col min="2053" max="2053" width="10.42578125" customWidth="1"/>
    <col min="2054" max="2054" width="6.140625" customWidth="1"/>
    <col min="2055" max="2055" width="8.140625" customWidth="1"/>
    <col min="2056" max="2056" width="6.140625" customWidth="1"/>
    <col min="2057" max="2057" width="8.5703125" customWidth="1"/>
    <col min="2058" max="2058" width="6.28515625" customWidth="1"/>
    <col min="2059" max="2059" width="7.85546875" customWidth="1"/>
    <col min="2060" max="2060" width="6.28515625" customWidth="1"/>
    <col min="2061" max="2061" width="7" customWidth="1"/>
    <col min="2062" max="2062" width="6.140625" customWidth="1"/>
    <col min="2063" max="2063" width="7" customWidth="1"/>
    <col min="2064" max="2064" width="6.28515625" customWidth="1"/>
    <col min="2065" max="2065" width="9.28515625" customWidth="1"/>
    <col min="2066" max="2066" width="6.28515625" customWidth="1"/>
    <col min="2067" max="2067" width="8.5703125" customWidth="1"/>
    <col min="2068" max="2068" width="6.42578125" customWidth="1"/>
    <col min="2069" max="2069" width="7.7109375" customWidth="1"/>
    <col min="2070" max="2070" width="6.42578125" customWidth="1"/>
    <col min="2305" max="2305" width="4.7109375" customWidth="1"/>
    <col min="2306" max="2306" width="3.140625" customWidth="1"/>
    <col min="2307" max="2307" width="23" bestFit="1" customWidth="1"/>
    <col min="2308" max="2308" width="9.85546875" customWidth="1"/>
    <col min="2309" max="2309" width="10.42578125" customWidth="1"/>
    <col min="2310" max="2310" width="6.140625" customWidth="1"/>
    <col min="2311" max="2311" width="8.140625" customWidth="1"/>
    <col min="2312" max="2312" width="6.140625" customWidth="1"/>
    <col min="2313" max="2313" width="8.5703125" customWidth="1"/>
    <col min="2314" max="2314" width="6.28515625" customWidth="1"/>
    <col min="2315" max="2315" width="7.85546875" customWidth="1"/>
    <col min="2316" max="2316" width="6.28515625" customWidth="1"/>
    <col min="2317" max="2317" width="7" customWidth="1"/>
    <col min="2318" max="2318" width="6.140625" customWidth="1"/>
    <col min="2319" max="2319" width="7" customWidth="1"/>
    <col min="2320" max="2320" width="6.28515625" customWidth="1"/>
    <col min="2321" max="2321" width="9.28515625" customWidth="1"/>
    <col min="2322" max="2322" width="6.28515625" customWidth="1"/>
    <col min="2323" max="2323" width="8.5703125" customWidth="1"/>
    <col min="2324" max="2324" width="6.42578125" customWidth="1"/>
    <col min="2325" max="2325" width="7.7109375" customWidth="1"/>
    <col min="2326" max="2326" width="6.42578125" customWidth="1"/>
    <col min="2561" max="2561" width="4.7109375" customWidth="1"/>
    <col min="2562" max="2562" width="3.140625" customWidth="1"/>
    <col min="2563" max="2563" width="23" bestFit="1" customWidth="1"/>
    <col min="2564" max="2564" width="9.85546875" customWidth="1"/>
    <col min="2565" max="2565" width="10.42578125" customWidth="1"/>
    <col min="2566" max="2566" width="6.140625" customWidth="1"/>
    <col min="2567" max="2567" width="8.140625" customWidth="1"/>
    <col min="2568" max="2568" width="6.140625" customWidth="1"/>
    <col min="2569" max="2569" width="8.5703125" customWidth="1"/>
    <col min="2570" max="2570" width="6.28515625" customWidth="1"/>
    <col min="2571" max="2571" width="7.85546875" customWidth="1"/>
    <col min="2572" max="2572" width="6.28515625" customWidth="1"/>
    <col min="2573" max="2573" width="7" customWidth="1"/>
    <col min="2574" max="2574" width="6.140625" customWidth="1"/>
    <col min="2575" max="2575" width="7" customWidth="1"/>
    <col min="2576" max="2576" width="6.28515625" customWidth="1"/>
    <col min="2577" max="2577" width="9.28515625" customWidth="1"/>
    <col min="2578" max="2578" width="6.28515625" customWidth="1"/>
    <col min="2579" max="2579" width="8.5703125" customWidth="1"/>
    <col min="2580" max="2580" width="6.42578125" customWidth="1"/>
    <col min="2581" max="2581" width="7.7109375" customWidth="1"/>
    <col min="2582" max="2582" width="6.42578125" customWidth="1"/>
    <col min="2817" max="2817" width="4.7109375" customWidth="1"/>
    <col min="2818" max="2818" width="3.140625" customWidth="1"/>
    <col min="2819" max="2819" width="23" bestFit="1" customWidth="1"/>
    <col min="2820" max="2820" width="9.85546875" customWidth="1"/>
    <col min="2821" max="2821" width="10.42578125" customWidth="1"/>
    <col min="2822" max="2822" width="6.140625" customWidth="1"/>
    <col min="2823" max="2823" width="8.140625" customWidth="1"/>
    <col min="2824" max="2824" width="6.140625" customWidth="1"/>
    <col min="2825" max="2825" width="8.5703125" customWidth="1"/>
    <col min="2826" max="2826" width="6.28515625" customWidth="1"/>
    <col min="2827" max="2827" width="7.85546875" customWidth="1"/>
    <col min="2828" max="2828" width="6.28515625" customWidth="1"/>
    <col min="2829" max="2829" width="7" customWidth="1"/>
    <col min="2830" max="2830" width="6.140625" customWidth="1"/>
    <col min="2831" max="2831" width="7" customWidth="1"/>
    <col min="2832" max="2832" width="6.28515625" customWidth="1"/>
    <col min="2833" max="2833" width="9.28515625" customWidth="1"/>
    <col min="2834" max="2834" width="6.28515625" customWidth="1"/>
    <col min="2835" max="2835" width="8.5703125" customWidth="1"/>
    <col min="2836" max="2836" width="6.42578125" customWidth="1"/>
    <col min="2837" max="2837" width="7.7109375" customWidth="1"/>
    <col min="2838" max="2838" width="6.42578125" customWidth="1"/>
    <col min="3073" max="3073" width="4.7109375" customWidth="1"/>
    <col min="3074" max="3074" width="3.140625" customWidth="1"/>
    <col min="3075" max="3075" width="23" bestFit="1" customWidth="1"/>
    <col min="3076" max="3076" width="9.85546875" customWidth="1"/>
    <col min="3077" max="3077" width="10.42578125" customWidth="1"/>
    <col min="3078" max="3078" width="6.140625" customWidth="1"/>
    <col min="3079" max="3079" width="8.140625" customWidth="1"/>
    <col min="3080" max="3080" width="6.140625" customWidth="1"/>
    <col min="3081" max="3081" width="8.5703125" customWidth="1"/>
    <col min="3082" max="3082" width="6.28515625" customWidth="1"/>
    <col min="3083" max="3083" width="7.85546875" customWidth="1"/>
    <col min="3084" max="3084" width="6.28515625" customWidth="1"/>
    <col min="3085" max="3085" width="7" customWidth="1"/>
    <col min="3086" max="3086" width="6.140625" customWidth="1"/>
    <col min="3087" max="3087" width="7" customWidth="1"/>
    <col min="3088" max="3088" width="6.28515625" customWidth="1"/>
    <col min="3089" max="3089" width="9.28515625" customWidth="1"/>
    <col min="3090" max="3090" width="6.28515625" customWidth="1"/>
    <col min="3091" max="3091" width="8.5703125" customWidth="1"/>
    <col min="3092" max="3092" width="6.42578125" customWidth="1"/>
    <col min="3093" max="3093" width="7.7109375" customWidth="1"/>
    <col min="3094" max="3094" width="6.42578125" customWidth="1"/>
    <col min="3329" max="3329" width="4.7109375" customWidth="1"/>
    <col min="3330" max="3330" width="3.140625" customWidth="1"/>
    <col min="3331" max="3331" width="23" bestFit="1" customWidth="1"/>
    <col min="3332" max="3332" width="9.85546875" customWidth="1"/>
    <col min="3333" max="3333" width="10.42578125" customWidth="1"/>
    <col min="3334" max="3334" width="6.140625" customWidth="1"/>
    <col min="3335" max="3335" width="8.140625" customWidth="1"/>
    <col min="3336" max="3336" width="6.140625" customWidth="1"/>
    <col min="3337" max="3337" width="8.5703125" customWidth="1"/>
    <col min="3338" max="3338" width="6.28515625" customWidth="1"/>
    <col min="3339" max="3339" width="7.85546875" customWidth="1"/>
    <col min="3340" max="3340" width="6.28515625" customWidth="1"/>
    <col min="3341" max="3341" width="7" customWidth="1"/>
    <col min="3342" max="3342" width="6.140625" customWidth="1"/>
    <col min="3343" max="3343" width="7" customWidth="1"/>
    <col min="3344" max="3344" width="6.28515625" customWidth="1"/>
    <col min="3345" max="3345" width="9.28515625" customWidth="1"/>
    <col min="3346" max="3346" width="6.28515625" customWidth="1"/>
    <col min="3347" max="3347" width="8.5703125" customWidth="1"/>
    <col min="3348" max="3348" width="6.42578125" customWidth="1"/>
    <col min="3349" max="3349" width="7.7109375" customWidth="1"/>
    <col min="3350" max="3350" width="6.42578125" customWidth="1"/>
    <col min="3585" max="3585" width="4.7109375" customWidth="1"/>
    <col min="3586" max="3586" width="3.140625" customWidth="1"/>
    <col min="3587" max="3587" width="23" bestFit="1" customWidth="1"/>
    <col min="3588" max="3588" width="9.85546875" customWidth="1"/>
    <col min="3589" max="3589" width="10.42578125" customWidth="1"/>
    <col min="3590" max="3590" width="6.140625" customWidth="1"/>
    <col min="3591" max="3591" width="8.140625" customWidth="1"/>
    <col min="3592" max="3592" width="6.140625" customWidth="1"/>
    <col min="3593" max="3593" width="8.5703125" customWidth="1"/>
    <col min="3594" max="3594" width="6.28515625" customWidth="1"/>
    <col min="3595" max="3595" width="7.85546875" customWidth="1"/>
    <col min="3596" max="3596" width="6.28515625" customWidth="1"/>
    <col min="3597" max="3597" width="7" customWidth="1"/>
    <col min="3598" max="3598" width="6.140625" customWidth="1"/>
    <col min="3599" max="3599" width="7" customWidth="1"/>
    <col min="3600" max="3600" width="6.28515625" customWidth="1"/>
    <col min="3601" max="3601" width="9.28515625" customWidth="1"/>
    <col min="3602" max="3602" width="6.28515625" customWidth="1"/>
    <col min="3603" max="3603" width="8.5703125" customWidth="1"/>
    <col min="3604" max="3604" width="6.42578125" customWidth="1"/>
    <col min="3605" max="3605" width="7.7109375" customWidth="1"/>
    <col min="3606" max="3606" width="6.42578125" customWidth="1"/>
    <col min="3841" max="3841" width="4.7109375" customWidth="1"/>
    <col min="3842" max="3842" width="3.140625" customWidth="1"/>
    <col min="3843" max="3843" width="23" bestFit="1" customWidth="1"/>
    <col min="3844" max="3844" width="9.85546875" customWidth="1"/>
    <col min="3845" max="3845" width="10.42578125" customWidth="1"/>
    <col min="3846" max="3846" width="6.140625" customWidth="1"/>
    <col min="3847" max="3847" width="8.140625" customWidth="1"/>
    <col min="3848" max="3848" width="6.140625" customWidth="1"/>
    <col min="3849" max="3849" width="8.5703125" customWidth="1"/>
    <col min="3850" max="3850" width="6.28515625" customWidth="1"/>
    <col min="3851" max="3851" width="7.85546875" customWidth="1"/>
    <col min="3852" max="3852" width="6.28515625" customWidth="1"/>
    <col min="3853" max="3853" width="7" customWidth="1"/>
    <col min="3854" max="3854" width="6.140625" customWidth="1"/>
    <col min="3855" max="3855" width="7" customWidth="1"/>
    <col min="3856" max="3856" width="6.28515625" customWidth="1"/>
    <col min="3857" max="3857" width="9.28515625" customWidth="1"/>
    <col min="3858" max="3858" width="6.28515625" customWidth="1"/>
    <col min="3859" max="3859" width="8.5703125" customWidth="1"/>
    <col min="3860" max="3860" width="6.42578125" customWidth="1"/>
    <col min="3861" max="3861" width="7.7109375" customWidth="1"/>
    <col min="3862" max="3862" width="6.42578125" customWidth="1"/>
    <col min="4097" max="4097" width="4.7109375" customWidth="1"/>
    <col min="4098" max="4098" width="3.140625" customWidth="1"/>
    <col min="4099" max="4099" width="23" bestFit="1" customWidth="1"/>
    <col min="4100" max="4100" width="9.85546875" customWidth="1"/>
    <col min="4101" max="4101" width="10.42578125" customWidth="1"/>
    <col min="4102" max="4102" width="6.140625" customWidth="1"/>
    <col min="4103" max="4103" width="8.140625" customWidth="1"/>
    <col min="4104" max="4104" width="6.140625" customWidth="1"/>
    <col min="4105" max="4105" width="8.5703125" customWidth="1"/>
    <col min="4106" max="4106" width="6.28515625" customWidth="1"/>
    <col min="4107" max="4107" width="7.85546875" customWidth="1"/>
    <col min="4108" max="4108" width="6.28515625" customWidth="1"/>
    <col min="4109" max="4109" width="7" customWidth="1"/>
    <col min="4110" max="4110" width="6.140625" customWidth="1"/>
    <col min="4111" max="4111" width="7" customWidth="1"/>
    <col min="4112" max="4112" width="6.28515625" customWidth="1"/>
    <col min="4113" max="4113" width="9.28515625" customWidth="1"/>
    <col min="4114" max="4114" width="6.28515625" customWidth="1"/>
    <col min="4115" max="4115" width="8.5703125" customWidth="1"/>
    <col min="4116" max="4116" width="6.42578125" customWidth="1"/>
    <col min="4117" max="4117" width="7.7109375" customWidth="1"/>
    <col min="4118" max="4118" width="6.42578125" customWidth="1"/>
    <col min="4353" max="4353" width="4.7109375" customWidth="1"/>
    <col min="4354" max="4354" width="3.140625" customWidth="1"/>
    <col min="4355" max="4355" width="23" bestFit="1" customWidth="1"/>
    <col min="4356" max="4356" width="9.85546875" customWidth="1"/>
    <col min="4357" max="4357" width="10.42578125" customWidth="1"/>
    <col min="4358" max="4358" width="6.140625" customWidth="1"/>
    <col min="4359" max="4359" width="8.140625" customWidth="1"/>
    <col min="4360" max="4360" width="6.140625" customWidth="1"/>
    <col min="4361" max="4361" width="8.5703125" customWidth="1"/>
    <col min="4362" max="4362" width="6.28515625" customWidth="1"/>
    <col min="4363" max="4363" width="7.85546875" customWidth="1"/>
    <col min="4364" max="4364" width="6.28515625" customWidth="1"/>
    <col min="4365" max="4365" width="7" customWidth="1"/>
    <col min="4366" max="4366" width="6.140625" customWidth="1"/>
    <col min="4367" max="4367" width="7" customWidth="1"/>
    <col min="4368" max="4368" width="6.28515625" customWidth="1"/>
    <col min="4369" max="4369" width="9.28515625" customWidth="1"/>
    <col min="4370" max="4370" width="6.28515625" customWidth="1"/>
    <col min="4371" max="4371" width="8.5703125" customWidth="1"/>
    <col min="4372" max="4372" width="6.42578125" customWidth="1"/>
    <col min="4373" max="4373" width="7.7109375" customWidth="1"/>
    <col min="4374" max="4374" width="6.42578125" customWidth="1"/>
    <col min="4609" max="4609" width="4.7109375" customWidth="1"/>
    <col min="4610" max="4610" width="3.140625" customWidth="1"/>
    <col min="4611" max="4611" width="23" bestFit="1" customWidth="1"/>
    <col min="4612" max="4612" width="9.85546875" customWidth="1"/>
    <col min="4613" max="4613" width="10.42578125" customWidth="1"/>
    <col min="4614" max="4614" width="6.140625" customWidth="1"/>
    <col min="4615" max="4615" width="8.140625" customWidth="1"/>
    <col min="4616" max="4616" width="6.140625" customWidth="1"/>
    <col min="4617" max="4617" width="8.5703125" customWidth="1"/>
    <col min="4618" max="4618" width="6.28515625" customWidth="1"/>
    <col min="4619" max="4619" width="7.85546875" customWidth="1"/>
    <col min="4620" max="4620" width="6.28515625" customWidth="1"/>
    <col min="4621" max="4621" width="7" customWidth="1"/>
    <col min="4622" max="4622" width="6.140625" customWidth="1"/>
    <col min="4623" max="4623" width="7" customWidth="1"/>
    <col min="4624" max="4624" width="6.28515625" customWidth="1"/>
    <col min="4625" max="4625" width="9.28515625" customWidth="1"/>
    <col min="4626" max="4626" width="6.28515625" customWidth="1"/>
    <col min="4627" max="4627" width="8.5703125" customWidth="1"/>
    <col min="4628" max="4628" width="6.42578125" customWidth="1"/>
    <col min="4629" max="4629" width="7.7109375" customWidth="1"/>
    <col min="4630" max="4630" width="6.42578125" customWidth="1"/>
    <col min="4865" max="4865" width="4.7109375" customWidth="1"/>
    <col min="4866" max="4866" width="3.140625" customWidth="1"/>
    <col min="4867" max="4867" width="23" bestFit="1" customWidth="1"/>
    <col min="4868" max="4868" width="9.85546875" customWidth="1"/>
    <col min="4869" max="4869" width="10.42578125" customWidth="1"/>
    <col min="4870" max="4870" width="6.140625" customWidth="1"/>
    <col min="4871" max="4871" width="8.140625" customWidth="1"/>
    <col min="4872" max="4872" width="6.140625" customWidth="1"/>
    <col min="4873" max="4873" width="8.5703125" customWidth="1"/>
    <col min="4874" max="4874" width="6.28515625" customWidth="1"/>
    <col min="4875" max="4875" width="7.85546875" customWidth="1"/>
    <col min="4876" max="4876" width="6.28515625" customWidth="1"/>
    <col min="4877" max="4877" width="7" customWidth="1"/>
    <col min="4878" max="4878" width="6.140625" customWidth="1"/>
    <col min="4879" max="4879" width="7" customWidth="1"/>
    <col min="4880" max="4880" width="6.28515625" customWidth="1"/>
    <col min="4881" max="4881" width="9.28515625" customWidth="1"/>
    <col min="4882" max="4882" width="6.28515625" customWidth="1"/>
    <col min="4883" max="4883" width="8.5703125" customWidth="1"/>
    <col min="4884" max="4884" width="6.42578125" customWidth="1"/>
    <col min="4885" max="4885" width="7.7109375" customWidth="1"/>
    <col min="4886" max="4886" width="6.42578125" customWidth="1"/>
    <col min="5121" max="5121" width="4.7109375" customWidth="1"/>
    <col min="5122" max="5122" width="3.140625" customWidth="1"/>
    <col min="5123" max="5123" width="23" bestFit="1" customWidth="1"/>
    <col min="5124" max="5124" width="9.85546875" customWidth="1"/>
    <col min="5125" max="5125" width="10.42578125" customWidth="1"/>
    <col min="5126" max="5126" width="6.140625" customWidth="1"/>
    <col min="5127" max="5127" width="8.140625" customWidth="1"/>
    <col min="5128" max="5128" width="6.140625" customWidth="1"/>
    <col min="5129" max="5129" width="8.5703125" customWidth="1"/>
    <col min="5130" max="5130" width="6.28515625" customWidth="1"/>
    <col min="5131" max="5131" width="7.85546875" customWidth="1"/>
    <col min="5132" max="5132" width="6.28515625" customWidth="1"/>
    <col min="5133" max="5133" width="7" customWidth="1"/>
    <col min="5134" max="5134" width="6.140625" customWidth="1"/>
    <col min="5135" max="5135" width="7" customWidth="1"/>
    <col min="5136" max="5136" width="6.28515625" customWidth="1"/>
    <col min="5137" max="5137" width="9.28515625" customWidth="1"/>
    <col min="5138" max="5138" width="6.28515625" customWidth="1"/>
    <col min="5139" max="5139" width="8.5703125" customWidth="1"/>
    <col min="5140" max="5140" width="6.42578125" customWidth="1"/>
    <col min="5141" max="5141" width="7.7109375" customWidth="1"/>
    <col min="5142" max="5142" width="6.42578125" customWidth="1"/>
    <col min="5377" max="5377" width="4.7109375" customWidth="1"/>
    <col min="5378" max="5378" width="3.140625" customWidth="1"/>
    <col min="5379" max="5379" width="23" bestFit="1" customWidth="1"/>
    <col min="5380" max="5380" width="9.85546875" customWidth="1"/>
    <col min="5381" max="5381" width="10.42578125" customWidth="1"/>
    <col min="5382" max="5382" width="6.140625" customWidth="1"/>
    <col min="5383" max="5383" width="8.140625" customWidth="1"/>
    <col min="5384" max="5384" width="6.140625" customWidth="1"/>
    <col min="5385" max="5385" width="8.5703125" customWidth="1"/>
    <col min="5386" max="5386" width="6.28515625" customWidth="1"/>
    <col min="5387" max="5387" width="7.85546875" customWidth="1"/>
    <col min="5388" max="5388" width="6.28515625" customWidth="1"/>
    <col min="5389" max="5389" width="7" customWidth="1"/>
    <col min="5390" max="5390" width="6.140625" customWidth="1"/>
    <col min="5391" max="5391" width="7" customWidth="1"/>
    <col min="5392" max="5392" width="6.28515625" customWidth="1"/>
    <col min="5393" max="5393" width="9.28515625" customWidth="1"/>
    <col min="5394" max="5394" width="6.28515625" customWidth="1"/>
    <col min="5395" max="5395" width="8.5703125" customWidth="1"/>
    <col min="5396" max="5396" width="6.42578125" customWidth="1"/>
    <col min="5397" max="5397" width="7.7109375" customWidth="1"/>
    <col min="5398" max="5398" width="6.42578125" customWidth="1"/>
    <col min="5633" max="5633" width="4.7109375" customWidth="1"/>
    <col min="5634" max="5634" width="3.140625" customWidth="1"/>
    <col min="5635" max="5635" width="23" bestFit="1" customWidth="1"/>
    <col min="5636" max="5636" width="9.85546875" customWidth="1"/>
    <col min="5637" max="5637" width="10.42578125" customWidth="1"/>
    <col min="5638" max="5638" width="6.140625" customWidth="1"/>
    <col min="5639" max="5639" width="8.140625" customWidth="1"/>
    <col min="5640" max="5640" width="6.140625" customWidth="1"/>
    <col min="5641" max="5641" width="8.5703125" customWidth="1"/>
    <col min="5642" max="5642" width="6.28515625" customWidth="1"/>
    <col min="5643" max="5643" width="7.85546875" customWidth="1"/>
    <col min="5644" max="5644" width="6.28515625" customWidth="1"/>
    <col min="5645" max="5645" width="7" customWidth="1"/>
    <col min="5646" max="5646" width="6.140625" customWidth="1"/>
    <col min="5647" max="5647" width="7" customWidth="1"/>
    <col min="5648" max="5648" width="6.28515625" customWidth="1"/>
    <col min="5649" max="5649" width="9.28515625" customWidth="1"/>
    <col min="5650" max="5650" width="6.28515625" customWidth="1"/>
    <col min="5651" max="5651" width="8.5703125" customWidth="1"/>
    <col min="5652" max="5652" width="6.42578125" customWidth="1"/>
    <col min="5653" max="5653" width="7.7109375" customWidth="1"/>
    <col min="5654" max="5654" width="6.42578125" customWidth="1"/>
    <col min="5889" max="5889" width="4.7109375" customWidth="1"/>
    <col min="5890" max="5890" width="3.140625" customWidth="1"/>
    <col min="5891" max="5891" width="23" bestFit="1" customWidth="1"/>
    <col min="5892" max="5892" width="9.85546875" customWidth="1"/>
    <col min="5893" max="5893" width="10.42578125" customWidth="1"/>
    <col min="5894" max="5894" width="6.140625" customWidth="1"/>
    <col min="5895" max="5895" width="8.140625" customWidth="1"/>
    <col min="5896" max="5896" width="6.140625" customWidth="1"/>
    <col min="5897" max="5897" width="8.5703125" customWidth="1"/>
    <col min="5898" max="5898" width="6.28515625" customWidth="1"/>
    <col min="5899" max="5899" width="7.85546875" customWidth="1"/>
    <col min="5900" max="5900" width="6.28515625" customWidth="1"/>
    <col min="5901" max="5901" width="7" customWidth="1"/>
    <col min="5902" max="5902" width="6.140625" customWidth="1"/>
    <col min="5903" max="5903" width="7" customWidth="1"/>
    <col min="5904" max="5904" width="6.28515625" customWidth="1"/>
    <col min="5905" max="5905" width="9.28515625" customWidth="1"/>
    <col min="5906" max="5906" width="6.28515625" customWidth="1"/>
    <col min="5907" max="5907" width="8.5703125" customWidth="1"/>
    <col min="5908" max="5908" width="6.42578125" customWidth="1"/>
    <col min="5909" max="5909" width="7.7109375" customWidth="1"/>
    <col min="5910" max="5910" width="6.42578125" customWidth="1"/>
    <col min="6145" max="6145" width="4.7109375" customWidth="1"/>
    <col min="6146" max="6146" width="3.140625" customWidth="1"/>
    <col min="6147" max="6147" width="23" bestFit="1" customWidth="1"/>
    <col min="6148" max="6148" width="9.85546875" customWidth="1"/>
    <col min="6149" max="6149" width="10.42578125" customWidth="1"/>
    <col min="6150" max="6150" width="6.140625" customWidth="1"/>
    <col min="6151" max="6151" width="8.140625" customWidth="1"/>
    <col min="6152" max="6152" width="6.140625" customWidth="1"/>
    <col min="6153" max="6153" width="8.5703125" customWidth="1"/>
    <col min="6154" max="6154" width="6.28515625" customWidth="1"/>
    <col min="6155" max="6155" width="7.85546875" customWidth="1"/>
    <col min="6156" max="6156" width="6.28515625" customWidth="1"/>
    <col min="6157" max="6157" width="7" customWidth="1"/>
    <col min="6158" max="6158" width="6.140625" customWidth="1"/>
    <col min="6159" max="6159" width="7" customWidth="1"/>
    <col min="6160" max="6160" width="6.28515625" customWidth="1"/>
    <col min="6161" max="6161" width="9.28515625" customWidth="1"/>
    <col min="6162" max="6162" width="6.28515625" customWidth="1"/>
    <col min="6163" max="6163" width="8.5703125" customWidth="1"/>
    <col min="6164" max="6164" width="6.42578125" customWidth="1"/>
    <col min="6165" max="6165" width="7.7109375" customWidth="1"/>
    <col min="6166" max="6166" width="6.42578125" customWidth="1"/>
    <col min="6401" max="6401" width="4.7109375" customWidth="1"/>
    <col min="6402" max="6402" width="3.140625" customWidth="1"/>
    <col min="6403" max="6403" width="23" bestFit="1" customWidth="1"/>
    <col min="6404" max="6404" width="9.85546875" customWidth="1"/>
    <col min="6405" max="6405" width="10.42578125" customWidth="1"/>
    <col min="6406" max="6406" width="6.140625" customWidth="1"/>
    <col min="6407" max="6407" width="8.140625" customWidth="1"/>
    <col min="6408" max="6408" width="6.140625" customWidth="1"/>
    <col min="6409" max="6409" width="8.5703125" customWidth="1"/>
    <col min="6410" max="6410" width="6.28515625" customWidth="1"/>
    <col min="6411" max="6411" width="7.85546875" customWidth="1"/>
    <col min="6412" max="6412" width="6.28515625" customWidth="1"/>
    <col min="6413" max="6413" width="7" customWidth="1"/>
    <col min="6414" max="6414" width="6.140625" customWidth="1"/>
    <col min="6415" max="6415" width="7" customWidth="1"/>
    <col min="6416" max="6416" width="6.28515625" customWidth="1"/>
    <col min="6417" max="6417" width="9.28515625" customWidth="1"/>
    <col min="6418" max="6418" width="6.28515625" customWidth="1"/>
    <col min="6419" max="6419" width="8.5703125" customWidth="1"/>
    <col min="6420" max="6420" width="6.42578125" customWidth="1"/>
    <col min="6421" max="6421" width="7.7109375" customWidth="1"/>
    <col min="6422" max="6422" width="6.42578125" customWidth="1"/>
    <col min="6657" max="6657" width="4.7109375" customWidth="1"/>
    <col min="6658" max="6658" width="3.140625" customWidth="1"/>
    <col min="6659" max="6659" width="23" bestFit="1" customWidth="1"/>
    <col min="6660" max="6660" width="9.85546875" customWidth="1"/>
    <col min="6661" max="6661" width="10.42578125" customWidth="1"/>
    <col min="6662" max="6662" width="6.140625" customWidth="1"/>
    <col min="6663" max="6663" width="8.140625" customWidth="1"/>
    <col min="6664" max="6664" width="6.140625" customWidth="1"/>
    <col min="6665" max="6665" width="8.5703125" customWidth="1"/>
    <col min="6666" max="6666" width="6.28515625" customWidth="1"/>
    <col min="6667" max="6667" width="7.85546875" customWidth="1"/>
    <col min="6668" max="6668" width="6.28515625" customWidth="1"/>
    <col min="6669" max="6669" width="7" customWidth="1"/>
    <col min="6670" max="6670" width="6.140625" customWidth="1"/>
    <col min="6671" max="6671" width="7" customWidth="1"/>
    <col min="6672" max="6672" width="6.28515625" customWidth="1"/>
    <col min="6673" max="6673" width="9.28515625" customWidth="1"/>
    <col min="6674" max="6674" width="6.28515625" customWidth="1"/>
    <col min="6675" max="6675" width="8.5703125" customWidth="1"/>
    <col min="6676" max="6676" width="6.42578125" customWidth="1"/>
    <col min="6677" max="6677" width="7.7109375" customWidth="1"/>
    <col min="6678" max="6678" width="6.42578125" customWidth="1"/>
    <col min="6913" max="6913" width="4.7109375" customWidth="1"/>
    <col min="6914" max="6914" width="3.140625" customWidth="1"/>
    <col min="6915" max="6915" width="23" bestFit="1" customWidth="1"/>
    <col min="6916" max="6916" width="9.85546875" customWidth="1"/>
    <col min="6917" max="6917" width="10.42578125" customWidth="1"/>
    <col min="6918" max="6918" width="6.140625" customWidth="1"/>
    <col min="6919" max="6919" width="8.140625" customWidth="1"/>
    <col min="6920" max="6920" width="6.140625" customWidth="1"/>
    <col min="6921" max="6921" width="8.5703125" customWidth="1"/>
    <col min="6922" max="6922" width="6.28515625" customWidth="1"/>
    <col min="6923" max="6923" width="7.85546875" customWidth="1"/>
    <col min="6924" max="6924" width="6.28515625" customWidth="1"/>
    <col min="6925" max="6925" width="7" customWidth="1"/>
    <col min="6926" max="6926" width="6.140625" customWidth="1"/>
    <col min="6927" max="6927" width="7" customWidth="1"/>
    <col min="6928" max="6928" width="6.28515625" customWidth="1"/>
    <col min="6929" max="6929" width="9.28515625" customWidth="1"/>
    <col min="6930" max="6930" width="6.28515625" customWidth="1"/>
    <col min="6931" max="6931" width="8.5703125" customWidth="1"/>
    <col min="6932" max="6932" width="6.42578125" customWidth="1"/>
    <col min="6933" max="6933" width="7.7109375" customWidth="1"/>
    <col min="6934" max="6934" width="6.42578125" customWidth="1"/>
    <col min="7169" max="7169" width="4.7109375" customWidth="1"/>
    <col min="7170" max="7170" width="3.140625" customWidth="1"/>
    <col min="7171" max="7171" width="23" bestFit="1" customWidth="1"/>
    <col min="7172" max="7172" width="9.85546875" customWidth="1"/>
    <col min="7173" max="7173" width="10.42578125" customWidth="1"/>
    <col min="7174" max="7174" width="6.140625" customWidth="1"/>
    <col min="7175" max="7175" width="8.140625" customWidth="1"/>
    <col min="7176" max="7176" width="6.140625" customWidth="1"/>
    <col min="7177" max="7177" width="8.5703125" customWidth="1"/>
    <col min="7178" max="7178" width="6.28515625" customWidth="1"/>
    <col min="7179" max="7179" width="7.85546875" customWidth="1"/>
    <col min="7180" max="7180" width="6.28515625" customWidth="1"/>
    <col min="7181" max="7181" width="7" customWidth="1"/>
    <col min="7182" max="7182" width="6.140625" customWidth="1"/>
    <col min="7183" max="7183" width="7" customWidth="1"/>
    <col min="7184" max="7184" width="6.28515625" customWidth="1"/>
    <col min="7185" max="7185" width="9.28515625" customWidth="1"/>
    <col min="7186" max="7186" width="6.28515625" customWidth="1"/>
    <col min="7187" max="7187" width="8.5703125" customWidth="1"/>
    <col min="7188" max="7188" width="6.42578125" customWidth="1"/>
    <col min="7189" max="7189" width="7.7109375" customWidth="1"/>
    <col min="7190" max="7190" width="6.42578125" customWidth="1"/>
    <col min="7425" max="7425" width="4.7109375" customWidth="1"/>
    <col min="7426" max="7426" width="3.140625" customWidth="1"/>
    <col min="7427" max="7427" width="23" bestFit="1" customWidth="1"/>
    <col min="7428" max="7428" width="9.85546875" customWidth="1"/>
    <col min="7429" max="7429" width="10.42578125" customWidth="1"/>
    <col min="7430" max="7430" width="6.140625" customWidth="1"/>
    <col min="7431" max="7431" width="8.140625" customWidth="1"/>
    <col min="7432" max="7432" width="6.140625" customWidth="1"/>
    <col min="7433" max="7433" width="8.5703125" customWidth="1"/>
    <col min="7434" max="7434" width="6.28515625" customWidth="1"/>
    <col min="7435" max="7435" width="7.85546875" customWidth="1"/>
    <col min="7436" max="7436" width="6.28515625" customWidth="1"/>
    <col min="7437" max="7437" width="7" customWidth="1"/>
    <col min="7438" max="7438" width="6.140625" customWidth="1"/>
    <col min="7439" max="7439" width="7" customWidth="1"/>
    <col min="7440" max="7440" width="6.28515625" customWidth="1"/>
    <col min="7441" max="7441" width="9.28515625" customWidth="1"/>
    <col min="7442" max="7442" width="6.28515625" customWidth="1"/>
    <col min="7443" max="7443" width="8.5703125" customWidth="1"/>
    <col min="7444" max="7444" width="6.42578125" customWidth="1"/>
    <col min="7445" max="7445" width="7.7109375" customWidth="1"/>
    <col min="7446" max="7446" width="6.42578125" customWidth="1"/>
    <col min="7681" max="7681" width="4.7109375" customWidth="1"/>
    <col min="7682" max="7682" width="3.140625" customWidth="1"/>
    <col min="7683" max="7683" width="23" bestFit="1" customWidth="1"/>
    <col min="7684" max="7684" width="9.85546875" customWidth="1"/>
    <col min="7685" max="7685" width="10.42578125" customWidth="1"/>
    <col min="7686" max="7686" width="6.140625" customWidth="1"/>
    <col min="7687" max="7687" width="8.140625" customWidth="1"/>
    <col min="7688" max="7688" width="6.140625" customWidth="1"/>
    <col min="7689" max="7689" width="8.5703125" customWidth="1"/>
    <col min="7690" max="7690" width="6.28515625" customWidth="1"/>
    <col min="7691" max="7691" width="7.85546875" customWidth="1"/>
    <col min="7692" max="7692" width="6.28515625" customWidth="1"/>
    <col min="7693" max="7693" width="7" customWidth="1"/>
    <col min="7694" max="7694" width="6.140625" customWidth="1"/>
    <col min="7695" max="7695" width="7" customWidth="1"/>
    <col min="7696" max="7696" width="6.28515625" customWidth="1"/>
    <col min="7697" max="7697" width="9.28515625" customWidth="1"/>
    <col min="7698" max="7698" width="6.28515625" customWidth="1"/>
    <col min="7699" max="7699" width="8.5703125" customWidth="1"/>
    <col min="7700" max="7700" width="6.42578125" customWidth="1"/>
    <col min="7701" max="7701" width="7.7109375" customWidth="1"/>
    <col min="7702" max="7702" width="6.42578125" customWidth="1"/>
    <col min="7937" max="7937" width="4.7109375" customWidth="1"/>
    <col min="7938" max="7938" width="3.140625" customWidth="1"/>
    <col min="7939" max="7939" width="23" bestFit="1" customWidth="1"/>
    <col min="7940" max="7940" width="9.85546875" customWidth="1"/>
    <col min="7941" max="7941" width="10.42578125" customWidth="1"/>
    <col min="7942" max="7942" width="6.140625" customWidth="1"/>
    <col min="7943" max="7943" width="8.140625" customWidth="1"/>
    <col min="7944" max="7944" width="6.140625" customWidth="1"/>
    <col min="7945" max="7945" width="8.5703125" customWidth="1"/>
    <col min="7946" max="7946" width="6.28515625" customWidth="1"/>
    <col min="7947" max="7947" width="7.85546875" customWidth="1"/>
    <col min="7948" max="7948" width="6.28515625" customWidth="1"/>
    <col min="7949" max="7949" width="7" customWidth="1"/>
    <col min="7950" max="7950" width="6.140625" customWidth="1"/>
    <col min="7951" max="7951" width="7" customWidth="1"/>
    <col min="7952" max="7952" width="6.28515625" customWidth="1"/>
    <col min="7953" max="7953" width="9.28515625" customWidth="1"/>
    <col min="7954" max="7954" width="6.28515625" customWidth="1"/>
    <col min="7955" max="7955" width="8.5703125" customWidth="1"/>
    <col min="7956" max="7956" width="6.42578125" customWidth="1"/>
    <col min="7957" max="7957" width="7.7109375" customWidth="1"/>
    <col min="7958" max="7958" width="6.42578125" customWidth="1"/>
    <col min="8193" max="8193" width="4.7109375" customWidth="1"/>
    <col min="8194" max="8194" width="3.140625" customWidth="1"/>
    <col min="8195" max="8195" width="23" bestFit="1" customWidth="1"/>
    <col min="8196" max="8196" width="9.85546875" customWidth="1"/>
    <col min="8197" max="8197" width="10.42578125" customWidth="1"/>
    <col min="8198" max="8198" width="6.140625" customWidth="1"/>
    <col min="8199" max="8199" width="8.140625" customWidth="1"/>
    <col min="8200" max="8200" width="6.140625" customWidth="1"/>
    <col min="8201" max="8201" width="8.5703125" customWidth="1"/>
    <col min="8202" max="8202" width="6.28515625" customWidth="1"/>
    <col min="8203" max="8203" width="7.85546875" customWidth="1"/>
    <col min="8204" max="8204" width="6.28515625" customWidth="1"/>
    <col min="8205" max="8205" width="7" customWidth="1"/>
    <col min="8206" max="8206" width="6.140625" customWidth="1"/>
    <col min="8207" max="8207" width="7" customWidth="1"/>
    <col min="8208" max="8208" width="6.28515625" customWidth="1"/>
    <col min="8209" max="8209" width="9.28515625" customWidth="1"/>
    <col min="8210" max="8210" width="6.28515625" customWidth="1"/>
    <col min="8211" max="8211" width="8.5703125" customWidth="1"/>
    <col min="8212" max="8212" width="6.42578125" customWidth="1"/>
    <col min="8213" max="8213" width="7.7109375" customWidth="1"/>
    <col min="8214" max="8214" width="6.42578125" customWidth="1"/>
    <col min="8449" max="8449" width="4.7109375" customWidth="1"/>
    <col min="8450" max="8450" width="3.140625" customWidth="1"/>
    <col min="8451" max="8451" width="23" bestFit="1" customWidth="1"/>
    <col min="8452" max="8452" width="9.85546875" customWidth="1"/>
    <col min="8453" max="8453" width="10.42578125" customWidth="1"/>
    <col min="8454" max="8454" width="6.140625" customWidth="1"/>
    <col min="8455" max="8455" width="8.140625" customWidth="1"/>
    <col min="8456" max="8456" width="6.140625" customWidth="1"/>
    <col min="8457" max="8457" width="8.5703125" customWidth="1"/>
    <col min="8458" max="8458" width="6.28515625" customWidth="1"/>
    <col min="8459" max="8459" width="7.85546875" customWidth="1"/>
    <col min="8460" max="8460" width="6.28515625" customWidth="1"/>
    <col min="8461" max="8461" width="7" customWidth="1"/>
    <col min="8462" max="8462" width="6.140625" customWidth="1"/>
    <col min="8463" max="8463" width="7" customWidth="1"/>
    <col min="8464" max="8464" width="6.28515625" customWidth="1"/>
    <col min="8465" max="8465" width="9.28515625" customWidth="1"/>
    <col min="8466" max="8466" width="6.28515625" customWidth="1"/>
    <col min="8467" max="8467" width="8.5703125" customWidth="1"/>
    <col min="8468" max="8468" width="6.42578125" customWidth="1"/>
    <col min="8469" max="8469" width="7.7109375" customWidth="1"/>
    <col min="8470" max="8470" width="6.42578125" customWidth="1"/>
    <col min="8705" max="8705" width="4.7109375" customWidth="1"/>
    <col min="8706" max="8706" width="3.140625" customWidth="1"/>
    <col min="8707" max="8707" width="23" bestFit="1" customWidth="1"/>
    <col min="8708" max="8708" width="9.85546875" customWidth="1"/>
    <col min="8709" max="8709" width="10.42578125" customWidth="1"/>
    <col min="8710" max="8710" width="6.140625" customWidth="1"/>
    <col min="8711" max="8711" width="8.140625" customWidth="1"/>
    <col min="8712" max="8712" width="6.140625" customWidth="1"/>
    <col min="8713" max="8713" width="8.5703125" customWidth="1"/>
    <col min="8714" max="8714" width="6.28515625" customWidth="1"/>
    <col min="8715" max="8715" width="7.85546875" customWidth="1"/>
    <col min="8716" max="8716" width="6.28515625" customWidth="1"/>
    <col min="8717" max="8717" width="7" customWidth="1"/>
    <col min="8718" max="8718" width="6.140625" customWidth="1"/>
    <col min="8719" max="8719" width="7" customWidth="1"/>
    <col min="8720" max="8720" width="6.28515625" customWidth="1"/>
    <col min="8721" max="8721" width="9.28515625" customWidth="1"/>
    <col min="8722" max="8722" width="6.28515625" customWidth="1"/>
    <col min="8723" max="8723" width="8.5703125" customWidth="1"/>
    <col min="8724" max="8724" width="6.42578125" customWidth="1"/>
    <col min="8725" max="8725" width="7.7109375" customWidth="1"/>
    <col min="8726" max="8726" width="6.42578125" customWidth="1"/>
    <col min="8961" max="8961" width="4.7109375" customWidth="1"/>
    <col min="8962" max="8962" width="3.140625" customWidth="1"/>
    <col min="8963" max="8963" width="23" bestFit="1" customWidth="1"/>
    <col min="8964" max="8964" width="9.85546875" customWidth="1"/>
    <col min="8965" max="8965" width="10.42578125" customWidth="1"/>
    <col min="8966" max="8966" width="6.140625" customWidth="1"/>
    <col min="8967" max="8967" width="8.140625" customWidth="1"/>
    <col min="8968" max="8968" width="6.140625" customWidth="1"/>
    <col min="8969" max="8969" width="8.5703125" customWidth="1"/>
    <col min="8970" max="8970" width="6.28515625" customWidth="1"/>
    <col min="8971" max="8971" width="7.85546875" customWidth="1"/>
    <col min="8972" max="8972" width="6.28515625" customWidth="1"/>
    <col min="8973" max="8973" width="7" customWidth="1"/>
    <col min="8974" max="8974" width="6.140625" customWidth="1"/>
    <col min="8975" max="8975" width="7" customWidth="1"/>
    <col min="8976" max="8976" width="6.28515625" customWidth="1"/>
    <col min="8977" max="8977" width="9.28515625" customWidth="1"/>
    <col min="8978" max="8978" width="6.28515625" customWidth="1"/>
    <col min="8979" max="8979" width="8.5703125" customWidth="1"/>
    <col min="8980" max="8980" width="6.42578125" customWidth="1"/>
    <col min="8981" max="8981" width="7.7109375" customWidth="1"/>
    <col min="8982" max="8982" width="6.42578125" customWidth="1"/>
    <col min="9217" max="9217" width="4.7109375" customWidth="1"/>
    <col min="9218" max="9218" width="3.140625" customWidth="1"/>
    <col min="9219" max="9219" width="23" bestFit="1" customWidth="1"/>
    <col min="9220" max="9220" width="9.85546875" customWidth="1"/>
    <col min="9221" max="9221" width="10.42578125" customWidth="1"/>
    <col min="9222" max="9222" width="6.140625" customWidth="1"/>
    <col min="9223" max="9223" width="8.140625" customWidth="1"/>
    <col min="9224" max="9224" width="6.140625" customWidth="1"/>
    <col min="9225" max="9225" width="8.5703125" customWidth="1"/>
    <col min="9226" max="9226" width="6.28515625" customWidth="1"/>
    <col min="9227" max="9227" width="7.85546875" customWidth="1"/>
    <col min="9228" max="9228" width="6.28515625" customWidth="1"/>
    <col min="9229" max="9229" width="7" customWidth="1"/>
    <col min="9230" max="9230" width="6.140625" customWidth="1"/>
    <col min="9231" max="9231" width="7" customWidth="1"/>
    <col min="9232" max="9232" width="6.28515625" customWidth="1"/>
    <col min="9233" max="9233" width="9.28515625" customWidth="1"/>
    <col min="9234" max="9234" width="6.28515625" customWidth="1"/>
    <col min="9235" max="9235" width="8.5703125" customWidth="1"/>
    <col min="9236" max="9236" width="6.42578125" customWidth="1"/>
    <col min="9237" max="9237" width="7.7109375" customWidth="1"/>
    <col min="9238" max="9238" width="6.42578125" customWidth="1"/>
    <col min="9473" max="9473" width="4.7109375" customWidth="1"/>
    <col min="9474" max="9474" width="3.140625" customWidth="1"/>
    <col min="9475" max="9475" width="23" bestFit="1" customWidth="1"/>
    <col min="9476" max="9476" width="9.85546875" customWidth="1"/>
    <col min="9477" max="9477" width="10.42578125" customWidth="1"/>
    <col min="9478" max="9478" width="6.140625" customWidth="1"/>
    <col min="9479" max="9479" width="8.140625" customWidth="1"/>
    <col min="9480" max="9480" width="6.140625" customWidth="1"/>
    <col min="9481" max="9481" width="8.5703125" customWidth="1"/>
    <col min="9482" max="9482" width="6.28515625" customWidth="1"/>
    <col min="9483" max="9483" width="7.85546875" customWidth="1"/>
    <col min="9484" max="9484" width="6.28515625" customWidth="1"/>
    <col min="9485" max="9485" width="7" customWidth="1"/>
    <col min="9486" max="9486" width="6.140625" customWidth="1"/>
    <col min="9487" max="9487" width="7" customWidth="1"/>
    <col min="9488" max="9488" width="6.28515625" customWidth="1"/>
    <col min="9489" max="9489" width="9.28515625" customWidth="1"/>
    <col min="9490" max="9490" width="6.28515625" customWidth="1"/>
    <col min="9491" max="9491" width="8.5703125" customWidth="1"/>
    <col min="9492" max="9492" width="6.42578125" customWidth="1"/>
    <col min="9493" max="9493" width="7.7109375" customWidth="1"/>
    <col min="9494" max="9494" width="6.42578125" customWidth="1"/>
    <col min="9729" max="9729" width="4.7109375" customWidth="1"/>
    <col min="9730" max="9730" width="3.140625" customWidth="1"/>
    <col min="9731" max="9731" width="23" bestFit="1" customWidth="1"/>
    <col min="9732" max="9732" width="9.85546875" customWidth="1"/>
    <col min="9733" max="9733" width="10.42578125" customWidth="1"/>
    <col min="9734" max="9734" width="6.140625" customWidth="1"/>
    <col min="9735" max="9735" width="8.140625" customWidth="1"/>
    <col min="9736" max="9736" width="6.140625" customWidth="1"/>
    <col min="9737" max="9737" width="8.5703125" customWidth="1"/>
    <col min="9738" max="9738" width="6.28515625" customWidth="1"/>
    <col min="9739" max="9739" width="7.85546875" customWidth="1"/>
    <col min="9740" max="9740" width="6.28515625" customWidth="1"/>
    <col min="9741" max="9741" width="7" customWidth="1"/>
    <col min="9742" max="9742" width="6.140625" customWidth="1"/>
    <col min="9743" max="9743" width="7" customWidth="1"/>
    <col min="9744" max="9744" width="6.28515625" customWidth="1"/>
    <col min="9745" max="9745" width="9.28515625" customWidth="1"/>
    <col min="9746" max="9746" width="6.28515625" customWidth="1"/>
    <col min="9747" max="9747" width="8.5703125" customWidth="1"/>
    <col min="9748" max="9748" width="6.42578125" customWidth="1"/>
    <col min="9749" max="9749" width="7.7109375" customWidth="1"/>
    <col min="9750" max="9750" width="6.42578125" customWidth="1"/>
    <col min="9985" max="9985" width="4.7109375" customWidth="1"/>
    <col min="9986" max="9986" width="3.140625" customWidth="1"/>
    <col min="9987" max="9987" width="23" bestFit="1" customWidth="1"/>
    <col min="9988" max="9988" width="9.85546875" customWidth="1"/>
    <col min="9989" max="9989" width="10.42578125" customWidth="1"/>
    <col min="9990" max="9990" width="6.140625" customWidth="1"/>
    <col min="9991" max="9991" width="8.140625" customWidth="1"/>
    <col min="9992" max="9992" width="6.140625" customWidth="1"/>
    <col min="9993" max="9993" width="8.5703125" customWidth="1"/>
    <col min="9994" max="9994" width="6.28515625" customWidth="1"/>
    <col min="9995" max="9995" width="7.85546875" customWidth="1"/>
    <col min="9996" max="9996" width="6.28515625" customWidth="1"/>
    <col min="9997" max="9997" width="7" customWidth="1"/>
    <col min="9998" max="9998" width="6.140625" customWidth="1"/>
    <col min="9999" max="9999" width="7" customWidth="1"/>
    <col min="10000" max="10000" width="6.28515625" customWidth="1"/>
    <col min="10001" max="10001" width="9.28515625" customWidth="1"/>
    <col min="10002" max="10002" width="6.28515625" customWidth="1"/>
    <col min="10003" max="10003" width="8.5703125" customWidth="1"/>
    <col min="10004" max="10004" width="6.42578125" customWidth="1"/>
    <col min="10005" max="10005" width="7.7109375" customWidth="1"/>
    <col min="10006" max="10006" width="6.42578125" customWidth="1"/>
    <col min="10241" max="10241" width="4.7109375" customWidth="1"/>
    <col min="10242" max="10242" width="3.140625" customWidth="1"/>
    <col min="10243" max="10243" width="23" bestFit="1" customWidth="1"/>
    <col min="10244" max="10244" width="9.85546875" customWidth="1"/>
    <col min="10245" max="10245" width="10.42578125" customWidth="1"/>
    <col min="10246" max="10246" width="6.140625" customWidth="1"/>
    <col min="10247" max="10247" width="8.140625" customWidth="1"/>
    <col min="10248" max="10248" width="6.140625" customWidth="1"/>
    <col min="10249" max="10249" width="8.5703125" customWidth="1"/>
    <col min="10250" max="10250" width="6.28515625" customWidth="1"/>
    <col min="10251" max="10251" width="7.85546875" customWidth="1"/>
    <col min="10252" max="10252" width="6.28515625" customWidth="1"/>
    <col min="10253" max="10253" width="7" customWidth="1"/>
    <col min="10254" max="10254" width="6.140625" customWidth="1"/>
    <col min="10255" max="10255" width="7" customWidth="1"/>
    <col min="10256" max="10256" width="6.28515625" customWidth="1"/>
    <col min="10257" max="10257" width="9.28515625" customWidth="1"/>
    <col min="10258" max="10258" width="6.28515625" customWidth="1"/>
    <col min="10259" max="10259" width="8.5703125" customWidth="1"/>
    <col min="10260" max="10260" width="6.42578125" customWidth="1"/>
    <col min="10261" max="10261" width="7.7109375" customWidth="1"/>
    <col min="10262" max="10262" width="6.42578125" customWidth="1"/>
    <col min="10497" max="10497" width="4.7109375" customWidth="1"/>
    <col min="10498" max="10498" width="3.140625" customWidth="1"/>
    <col min="10499" max="10499" width="23" bestFit="1" customWidth="1"/>
    <col min="10500" max="10500" width="9.85546875" customWidth="1"/>
    <col min="10501" max="10501" width="10.42578125" customWidth="1"/>
    <col min="10502" max="10502" width="6.140625" customWidth="1"/>
    <col min="10503" max="10503" width="8.140625" customWidth="1"/>
    <col min="10504" max="10504" width="6.140625" customWidth="1"/>
    <col min="10505" max="10505" width="8.5703125" customWidth="1"/>
    <col min="10506" max="10506" width="6.28515625" customWidth="1"/>
    <col min="10507" max="10507" width="7.85546875" customWidth="1"/>
    <col min="10508" max="10508" width="6.28515625" customWidth="1"/>
    <col min="10509" max="10509" width="7" customWidth="1"/>
    <col min="10510" max="10510" width="6.140625" customWidth="1"/>
    <col min="10511" max="10511" width="7" customWidth="1"/>
    <col min="10512" max="10512" width="6.28515625" customWidth="1"/>
    <col min="10513" max="10513" width="9.28515625" customWidth="1"/>
    <col min="10514" max="10514" width="6.28515625" customWidth="1"/>
    <col min="10515" max="10515" width="8.5703125" customWidth="1"/>
    <col min="10516" max="10516" width="6.42578125" customWidth="1"/>
    <col min="10517" max="10517" width="7.7109375" customWidth="1"/>
    <col min="10518" max="10518" width="6.42578125" customWidth="1"/>
    <col min="10753" max="10753" width="4.7109375" customWidth="1"/>
    <col min="10754" max="10754" width="3.140625" customWidth="1"/>
    <col min="10755" max="10755" width="23" bestFit="1" customWidth="1"/>
    <col min="10756" max="10756" width="9.85546875" customWidth="1"/>
    <col min="10757" max="10757" width="10.42578125" customWidth="1"/>
    <col min="10758" max="10758" width="6.140625" customWidth="1"/>
    <col min="10759" max="10759" width="8.140625" customWidth="1"/>
    <col min="10760" max="10760" width="6.140625" customWidth="1"/>
    <col min="10761" max="10761" width="8.5703125" customWidth="1"/>
    <col min="10762" max="10762" width="6.28515625" customWidth="1"/>
    <col min="10763" max="10763" width="7.85546875" customWidth="1"/>
    <col min="10764" max="10764" width="6.28515625" customWidth="1"/>
    <col min="10765" max="10765" width="7" customWidth="1"/>
    <col min="10766" max="10766" width="6.140625" customWidth="1"/>
    <col min="10767" max="10767" width="7" customWidth="1"/>
    <col min="10768" max="10768" width="6.28515625" customWidth="1"/>
    <col min="10769" max="10769" width="9.28515625" customWidth="1"/>
    <col min="10770" max="10770" width="6.28515625" customWidth="1"/>
    <col min="10771" max="10771" width="8.5703125" customWidth="1"/>
    <col min="10772" max="10772" width="6.42578125" customWidth="1"/>
    <col min="10773" max="10773" width="7.7109375" customWidth="1"/>
    <col min="10774" max="10774" width="6.42578125" customWidth="1"/>
    <col min="11009" max="11009" width="4.7109375" customWidth="1"/>
    <col min="11010" max="11010" width="3.140625" customWidth="1"/>
    <col min="11011" max="11011" width="23" bestFit="1" customWidth="1"/>
    <col min="11012" max="11012" width="9.85546875" customWidth="1"/>
    <col min="11013" max="11013" width="10.42578125" customWidth="1"/>
    <col min="11014" max="11014" width="6.140625" customWidth="1"/>
    <col min="11015" max="11015" width="8.140625" customWidth="1"/>
    <col min="11016" max="11016" width="6.140625" customWidth="1"/>
    <col min="11017" max="11017" width="8.5703125" customWidth="1"/>
    <col min="11018" max="11018" width="6.28515625" customWidth="1"/>
    <col min="11019" max="11019" width="7.85546875" customWidth="1"/>
    <col min="11020" max="11020" width="6.28515625" customWidth="1"/>
    <col min="11021" max="11021" width="7" customWidth="1"/>
    <col min="11022" max="11022" width="6.140625" customWidth="1"/>
    <col min="11023" max="11023" width="7" customWidth="1"/>
    <col min="11024" max="11024" width="6.28515625" customWidth="1"/>
    <col min="11025" max="11025" width="9.28515625" customWidth="1"/>
    <col min="11026" max="11026" width="6.28515625" customWidth="1"/>
    <col min="11027" max="11027" width="8.5703125" customWidth="1"/>
    <col min="11028" max="11028" width="6.42578125" customWidth="1"/>
    <col min="11029" max="11029" width="7.7109375" customWidth="1"/>
    <col min="11030" max="11030" width="6.42578125" customWidth="1"/>
    <col min="11265" max="11265" width="4.7109375" customWidth="1"/>
    <col min="11266" max="11266" width="3.140625" customWidth="1"/>
    <col min="11267" max="11267" width="23" bestFit="1" customWidth="1"/>
    <col min="11268" max="11268" width="9.85546875" customWidth="1"/>
    <col min="11269" max="11269" width="10.42578125" customWidth="1"/>
    <col min="11270" max="11270" width="6.140625" customWidth="1"/>
    <col min="11271" max="11271" width="8.140625" customWidth="1"/>
    <col min="11272" max="11272" width="6.140625" customWidth="1"/>
    <col min="11273" max="11273" width="8.5703125" customWidth="1"/>
    <col min="11274" max="11274" width="6.28515625" customWidth="1"/>
    <col min="11275" max="11275" width="7.85546875" customWidth="1"/>
    <col min="11276" max="11276" width="6.28515625" customWidth="1"/>
    <col min="11277" max="11277" width="7" customWidth="1"/>
    <col min="11278" max="11278" width="6.140625" customWidth="1"/>
    <col min="11279" max="11279" width="7" customWidth="1"/>
    <col min="11280" max="11280" width="6.28515625" customWidth="1"/>
    <col min="11281" max="11281" width="9.28515625" customWidth="1"/>
    <col min="11282" max="11282" width="6.28515625" customWidth="1"/>
    <col min="11283" max="11283" width="8.5703125" customWidth="1"/>
    <col min="11284" max="11284" width="6.42578125" customWidth="1"/>
    <col min="11285" max="11285" width="7.7109375" customWidth="1"/>
    <col min="11286" max="11286" width="6.42578125" customWidth="1"/>
    <col min="11521" max="11521" width="4.7109375" customWidth="1"/>
    <col min="11522" max="11522" width="3.140625" customWidth="1"/>
    <col min="11523" max="11523" width="23" bestFit="1" customWidth="1"/>
    <col min="11524" max="11524" width="9.85546875" customWidth="1"/>
    <col min="11525" max="11525" width="10.42578125" customWidth="1"/>
    <col min="11526" max="11526" width="6.140625" customWidth="1"/>
    <col min="11527" max="11527" width="8.140625" customWidth="1"/>
    <col min="11528" max="11528" width="6.140625" customWidth="1"/>
    <col min="11529" max="11529" width="8.5703125" customWidth="1"/>
    <col min="11530" max="11530" width="6.28515625" customWidth="1"/>
    <col min="11531" max="11531" width="7.85546875" customWidth="1"/>
    <col min="11532" max="11532" width="6.28515625" customWidth="1"/>
    <col min="11533" max="11533" width="7" customWidth="1"/>
    <col min="11534" max="11534" width="6.140625" customWidth="1"/>
    <col min="11535" max="11535" width="7" customWidth="1"/>
    <col min="11536" max="11536" width="6.28515625" customWidth="1"/>
    <col min="11537" max="11537" width="9.28515625" customWidth="1"/>
    <col min="11538" max="11538" width="6.28515625" customWidth="1"/>
    <col min="11539" max="11539" width="8.5703125" customWidth="1"/>
    <col min="11540" max="11540" width="6.42578125" customWidth="1"/>
    <col min="11541" max="11541" width="7.7109375" customWidth="1"/>
    <col min="11542" max="11542" width="6.42578125" customWidth="1"/>
    <col min="11777" max="11777" width="4.7109375" customWidth="1"/>
    <col min="11778" max="11778" width="3.140625" customWidth="1"/>
    <col min="11779" max="11779" width="23" bestFit="1" customWidth="1"/>
    <col min="11780" max="11780" width="9.85546875" customWidth="1"/>
    <col min="11781" max="11781" width="10.42578125" customWidth="1"/>
    <col min="11782" max="11782" width="6.140625" customWidth="1"/>
    <col min="11783" max="11783" width="8.140625" customWidth="1"/>
    <col min="11784" max="11784" width="6.140625" customWidth="1"/>
    <col min="11785" max="11785" width="8.5703125" customWidth="1"/>
    <col min="11786" max="11786" width="6.28515625" customWidth="1"/>
    <col min="11787" max="11787" width="7.85546875" customWidth="1"/>
    <col min="11788" max="11788" width="6.28515625" customWidth="1"/>
    <col min="11789" max="11789" width="7" customWidth="1"/>
    <col min="11790" max="11790" width="6.140625" customWidth="1"/>
    <col min="11791" max="11791" width="7" customWidth="1"/>
    <col min="11792" max="11792" width="6.28515625" customWidth="1"/>
    <col min="11793" max="11793" width="9.28515625" customWidth="1"/>
    <col min="11794" max="11794" width="6.28515625" customWidth="1"/>
    <col min="11795" max="11795" width="8.5703125" customWidth="1"/>
    <col min="11796" max="11796" width="6.42578125" customWidth="1"/>
    <col min="11797" max="11797" width="7.7109375" customWidth="1"/>
    <col min="11798" max="11798" width="6.42578125" customWidth="1"/>
    <col min="12033" max="12033" width="4.7109375" customWidth="1"/>
    <col min="12034" max="12034" width="3.140625" customWidth="1"/>
    <col min="12035" max="12035" width="23" bestFit="1" customWidth="1"/>
    <col min="12036" max="12036" width="9.85546875" customWidth="1"/>
    <col min="12037" max="12037" width="10.42578125" customWidth="1"/>
    <col min="12038" max="12038" width="6.140625" customWidth="1"/>
    <col min="12039" max="12039" width="8.140625" customWidth="1"/>
    <col min="12040" max="12040" width="6.140625" customWidth="1"/>
    <col min="12041" max="12041" width="8.5703125" customWidth="1"/>
    <col min="12042" max="12042" width="6.28515625" customWidth="1"/>
    <col min="12043" max="12043" width="7.85546875" customWidth="1"/>
    <col min="12044" max="12044" width="6.28515625" customWidth="1"/>
    <col min="12045" max="12045" width="7" customWidth="1"/>
    <col min="12046" max="12046" width="6.140625" customWidth="1"/>
    <col min="12047" max="12047" width="7" customWidth="1"/>
    <col min="12048" max="12048" width="6.28515625" customWidth="1"/>
    <col min="12049" max="12049" width="9.28515625" customWidth="1"/>
    <col min="12050" max="12050" width="6.28515625" customWidth="1"/>
    <col min="12051" max="12051" width="8.5703125" customWidth="1"/>
    <col min="12052" max="12052" width="6.42578125" customWidth="1"/>
    <col min="12053" max="12053" width="7.7109375" customWidth="1"/>
    <col min="12054" max="12054" width="6.42578125" customWidth="1"/>
    <col min="12289" max="12289" width="4.7109375" customWidth="1"/>
    <col min="12290" max="12290" width="3.140625" customWidth="1"/>
    <col min="12291" max="12291" width="23" bestFit="1" customWidth="1"/>
    <col min="12292" max="12292" width="9.85546875" customWidth="1"/>
    <col min="12293" max="12293" width="10.42578125" customWidth="1"/>
    <col min="12294" max="12294" width="6.140625" customWidth="1"/>
    <col min="12295" max="12295" width="8.140625" customWidth="1"/>
    <col min="12296" max="12296" width="6.140625" customWidth="1"/>
    <col min="12297" max="12297" width="8.5703125" customWidth="1"/>
    <col min="12298" max="12298" width="6.28515625" customWidth="1"/>
    <col min="12299" max="12299" width="7.85546875" customWidth="1"/>
    <col min="12300" max="12300" width="6.28515625" customWidth="1"/>
    <col min="12301" max="12301" width="7" customWidth="1"/>
    <col min="12302" max="12302" width="6.140625" customWidth="1"/>
    <col min="12303" max="12303" width="7" customWidth="1"/>
    <col min="12304" max="12304" width="6.28515625" customWidth="1"/>
    <col min="12305" max="12305" width="9.28515625" customWidth="1"/>
    <col min="12306" max="12306" width="6.28515625" customWidth="1"/>
    <col min="12307" max="12307" width="8.5703125" customWidth="1"/>
    <col min="12308" max="12308" width="6.42578125" customWidth="1"/>
    <col min="12309" max="12309" width="7.7109375" customWidth="1"/>
    <col min="12310" max="12310" width="6.42578125" customWidth="1"/>
    <col min="12545" max="12545" width="4.7109375" customWidth="1"/>
    <col min="12546" max="12546" width="3.140625" customWidth="1"/>
    <col min="12547" max="12547" width="23" bestFit="1" customWidth="1"/>
    <col min="12548" max="12548" width="9.85546875" customWidth="1"/>
    <col min="12549" max="12549" width="10.42578125" customWidth="1"/>
    <col min="12550" max="12550" width="6.140625" customWidth="1"/>
    <col min="12551" max="12551" width="8.140625" customWidth="1"/>
    <col min="12552" max="12552" width="6.140625" customWidth="1"/>
    <col min="12553" max="12553" width="8.5703125" customWidth="1"/>
    <col min="12554" max="12554" width="6.28515625" customWidth="1"/>
    <col min="12555" max="12555" width="7.85546875" customWidth="1"/>
    <col min="12556" max="12556" width="6.28515625" customWidth="1"/>
    <col min="12557" max="12557" width="7" customWidth="1"/>
    <col min="12558" max="12558" width="6.140625" customWidth="1"/>
    <col min="12559" max="12559" width="7" customWidth="1"/>
    <col min="12560" max="12560" width="6.28515625" customWidth="1"/>
    <col min="12561" max="12561" width="9.28515625" customWidth="1"/>
    <col min="12562" max="12562" width="6.28515625" customWidth="1"/>
    <col min="12563" max="12563" width="8.5703125" customWidth="1"/>
    <col min="12564" max="12564" width="6.42578125" customWidth="1"/>
    <col min="12565" max="12565" width="7.7109375" customWidth="1"/>
    <col min="12566" max="12566" width="6.42578125" customWidth="1"/>
    <col min="12801" max="12801" width="4.7109375" customWidth="1"/>
    <col min="12802" max="12802" width="3.140625" customWidth="1"/>
    <col min="12803" max="12803" width="23" bestFit="1" customWidth="1"/>
    <col min="12804" max="12804" width="9.85546875" customWidth="1"/>
    <col min="12805" max="12805" width="10.42578125" customWidth="1"/>
    <col min="12806" max="12806" width="6.140625" customWidth="1"/>
    <col min="12807" max="12807" width="8.140625" customWidth="1"/>
    <col min="12808" max="12808" width="6.140625" customWidth="1"/>
    <col min="12809" max="12809" width="8.5703125" customWidth="1"/>
    <col min="12810" max="12810" width="6.28515625" customWidth="1"/>
    <col min="12811" max="12811" width="7.85546875" customWidth="1"/>
    <col min="12812" max="12812" width="6.28515625" customWidth="1"/>
    <col min="12813" max="12813" width="7" customWidth="1"/>
    <col min="12814" max="12814" width="6.140625" customWidth="1"/>
    <col min="12815" max="12815" width="7" customWidth="1"/>
    <col min="12816" max="12816" width="6.28515625" customWidth="1"/>
    <col min="12817" max="12817" width="9.28515625" customWidth="1"/>
    <col min="12818" max="12818" width="6.28515625" customWidth="1"/>
    <col min="12819" max="12819" width="8.5703125" customWidth="1"/>
    <col min="12820" max="12820" width="6.42578125" customWidth="1"/>
    <col min="12821" max="12821" width="7.7109375" customWidth="1"/>
    <col min="12822" max="12822" width="6.42578125" customWidth="1"/>
    <col min="13057" max="13057" width="4.7109375" customWidth="1"/>
    <col min="13058" max="13058" width="3.140625" customWidth="1"/>
    <col min="13059" max="13059" width="23" bestFit="1" customWidth="1"/>
    <col min="13060" max="13060" width="9.85546875" customWidth="1"/>
    <col min="13061" max="13061" width="10.42578125" customWidth="1"/>
    <col min="13062" max="13062" width="6.140625" customWidth="1"/>
    <col min="13063" max="13063" width="8.140625" customWidth="1"/>
    <col min="13064" max="13064" width="6.140625" customWidth="1"/>
    <col min="13065" max="13065" width="8.5703125" customWidth="1"/>
    <col min="13066" max="13066" width="6.28515625" customWidth="1"/>
    <col min="13067" max="13067" width="7.85546875" customWidth="1"/>
    <col min="13068" max="13068" width="6.28515625" customWidth="1"/>
    <col min="13069" max="13069" width="7" customWidth="1"/>
    <col min="13070" max="13070" width="6.140625" customWidth="1"/>
    <col min="13071" max="13071" width="7" customWidth="1"/>
    <col min="13072" max="13072" width="6.28515625" customWidth="1"/>
    <col min="13073" max="13073" width="9.28515625" customWidth="1"/>
    <col min="13074" max="13074" width="6.28515625" customWidth="1"/>
    <col min="13075" max="13075" width="8.5703125" customWidth="1"/>
    <col min="13076" max="13076" width="6.42578125" customWidth="1"/>
    <col min="13077" max="13077" width="7.7109375" customWidth="1"/>
    <col min="13078" max="13078" width="6.42578125" customWidth="1"/>
    <col min="13313" max="13313" width="4.7109375" customWidth="1"/>
    <col min="13314" max="13314" width="3.140625" customWidth="1"/>
    <col min="13315" max="13315" width="23" bestFit="1" customWidth="1"/>
    <col min="13316" max="13316" width="9.85546875" customWidth="1"/>
    <col min="13317" max="13317" width="10.42578125" customWidth="1"/>
    <col min="13318" max="13318" width="6.140625" customWidth="1"/>
    <col min="13319" max="13319" width="8.140625" customWidth="1"/>
    <col min="13320" max="13320" width="6.140625" customWidth="1"/>
    <col min="13321" max="13321" width="8.5703125" customWidth="1"/>
    <col min="13322" max="13322" width="6.28515625" customWidth="1"/>
    <col min="13323" max="13323" width="7.85546875" customWidth="1"/>
    <col min="13324" max="13324" width="6.28515625" customWidth="1"/>
    <col min="13325" max="13325" width="7" customWidth="1"/>
    <col min="13326" max="13326" width="6.140625" customWidth="1"/>
    <col min="13327" max="13327" width="7" customWidth="1"/>
    <col min="13328" max="13328" width="6.28515625" customWidth="1"/>
    <col min="13329" max="13329" width="9.28515625" customWidth="1"/>
    <col min="13330" max="13330" width="6.28515625" customWidth="1"/>
    <col min="13331" max="13331" width="8.5703125" customWidth="1"/>
    <col min="13332" max="13332" width="6.42578125" customWidth="1"/>
    <col min="13333" max="13333" width="7.7109375" customWidth="1"/>
    <col min="13334" max="13334" width="6.42578125" customWidth="1"/>
    <col min="13569" max="13569" width="4.7109375" customWidth="1"/>
    <col min="13570" max="13570" width="3.140625" customWidth="1"/>
    <col min="13571" max="13571" width="23" bestFit="1" customWidth="1"/>
    <col min="13572" max="13572" width="9.85546875" customWidth="1"/>
    <col min="13573" max="13573" width="10.42578125" customWidth="1"/>
    <col min="13574" max="13574" width="6.140625" customWidth="1"/>
    <col min="13575" max="13575" width="8.140625" customWidth="1"/>
    <col min="13576" max="13576" width="6.140625" customWidth="1"/>
    <col min="13577" max="13577" width="8.5703125" customWidth="1"/>
    <col min="13578" max="13578" width="6.28515625" customWidth="1"/>
    <col min="13579" max="13579" width="7.85546875" customWidth="1"/>
    <col min="13580" max="13580" width="6.28515625" customWidth="1"/>
    <col min="13581" max="13581" width="7" customWidth="1"/>
    <col min="13582" max="13582" width="6.140625" customWidth="1"/>
    <col min="13583" max="13583" width="7" customWidth="1"/>
    <col min="13584" max="13584" width="6.28515625" customWidth="1"/>
    <col min="13585" max="13585" width="9.28515625" customWidth="1"/>
    <col min="13586" max="13586" width="6.28515625" customWidth="1"/>
    <col min="13587" max="13587" width="8.5703125" customWidth="1"/>
    <col min="13588" max="13588" width="6.42578125" customWidth="1"/>
    <col min="13589" max="13589" width="7.7109375" customWidth="1"/>
    <col min="13590" max="13590" width="6.42578125" customWidth="1"/>
    <col min="13825" max="13825" width="4.7109375" customWidth="1"/>
    <col min="13826" max="13826" width="3.140625" customWidth="1"/>
    <col min="13827" max="13827" width="23" bestFit="1" customWidth="1"/>
    <col min="13828" max="13828" width="9.85546875" customWidth="1"/>
    <col min="13829" max="13829" width="10.42578125" customWidth="1"/>
    <col min="13830" max="13830" width="6.140625" customWidth="1"/>
    <col min="13831" max="13831" width="8.140625" customWidth="1"/>
    <col min="13832" max="13832" width="6.140625" customWidth="1"/>
    <col min="13833" max="13833" width="8.5703125" customWidth="1"/>
    <col min="13834" max="13834" width="6.28515625" customWidth="1"/>
    <col min="13835" max="13835" width="7.85546875" customWidth="1"/>
    <col min="13836" max="13836" width="6.28515625" customWidth="1"/>
    <col min="13837" max="13837" width="7" customWidth="1"/>
    <col min="13838" max="13838" width="6.140625" customWidth="1"/>
    <col min="13839" max="13839" width="7" customWidth="1"/>
    <col min="13840" max="13840" width="6.28515625" customWidth="1"/>
    <col min="13841" max="13841" width="9.28515625" customWidth="1"/>
    <col min="13842" max="13842" width="6.28515625" customWidth="1"/>
    <col min="13843" max="13843" width="8.5703125" customWidth="1"/>
    <col min="13844" max="13844" width="6.42578125" customWidth="1"/>
    <col min="13845" max="13845" width="7.7109375" customWidth="1"/>
    <col min="13846" max="13846" width="6.42578125" customWidth="1"/>
    <col min="14081" max="14081" width="4.7109375" customWidth="1"/>
    <col min="14082" max="14082" width="3.140625" customWidth="1"/>
    <col min="14083" max="14083" width="23" bestFit="1" customWidth="1"/>
    <col min="14084" max="14084" width="9.85546875" customWidth="1"/>
    <col min="14085" max="14085" width="10.42578125" customWidth="1"/>
    <col min="14086" max="14086" width="6.140625" customWidth="1"/>
    <col min="14087" max="14087" width="8.140625" customWidth="1"/>
    <col min="14088" max="14088" width="6.140625" customWidth="1"/>
    <col min="14089" max="14089" width="8.5703125" customWidth="1"/>
    <col min="14090" max="14090" width="6.28515625" customWidth="1"/>
    <col min="14091" max="14091" width="7.85546875" customWidth="1"/>
    <col min="14092" max="14092" width="6.28515625" customWidth="1"/>
    <col min="14093" max="14093" width="7" customWidth="1"/>
    <col min="14094" max="14094" width="6.140625" customWidth="1"/>
    <col min="14095" max="14095" width="7" customWidth="1"/>
    <col min="14096" max="14096" width="6.28515625" customWidth="1"/>
    <col min="14097" max="14097" width="9.28515625" customWidth="1"/>
    <col min="14098" max="14098" width="6.28515625" customWidth="1"/>
    <col min="14099" max="14099" width="8.5703125" customWidth="1"/>
    <col min="14100" max="14100" width="6.42578125" customWidth="1"/>
    <col min="14101" max="14101" width="7.7109375" customWidth="1"/>
    <col min="14102" max="14102" width="6.42578125" customWidth="1"/>
    <col min="14337" max="14337" width="4.7109375" customWidth="1"/>
    <col min="14338" max="14338" width="3.140625" customWidth="1"/>
    <col min="14339" max="14339" width="23" bestFit="1" customWidth="1"/>
    <col min="14340" max="14340" width="9.85546875" customWidth="1"/>
    <col min="14341" max="14341" width="10.42578125" customWidth="1"/>
    <col min="14342" max="14342" width="6.140625" customWidth="1"/>
    <col min="14343" max="14343" width="8.140625" customWidth="1"/>
    <col min="14344" max="14344" width="6.140625" customWidth="1"/>
    <col min="14345" max="14345" width="8.5703125" customWidth="1"/>
    <col min="14346" max="14346" width="6.28515625" customWidth="1"/>
    <col min="14347" max="14347" width="7.85546875" customWidth="1"/>
    <col min="14348" max="14348" width="6.28515625" customWidth="1"/>
    <col min="14349" max="14349" width="7" customWidth="1"/>
    <col min="14350" max="14350" width="6.140625" customWidth="1"/>
    <col min="14351" max="14351" width="7" customWidth="1"/>
    <col min="14352" max="14352" width="6.28515625" customWidth="1"/>
    <col min="14353" max="14353" width="9.28515625" customWidth="1"/>
    <col min="14354" max="14354" width="6.28515625" customWidth="1"/>
    <col min="14355" max="14355" width="8.5703125" customWidth="1"/>
    <col min="14356" max="14356" width="6.42578125" customWidth="1"/>
    <col min="14357" max="14357" width="7.7109375" customWidth="1"/>
    <col min="14358" max="14358" width="6.42578125" customWidth="1"/>
    <col min="14593" max="14593" width="4.7109375" customWidth="1"/>
    <col min="14594" max="14594" width="3.140625" customWidth="1"/>
    <col min="14595" max="14595" width="23" bestFit="1" customWidth="1"/>
    <col min="14596" max="14596" width="9.85546875" customWidth="1"/>
    <col min="14597" max="14597" width="10.42578125" customWidth="1"/>
    <col min="14598" max="14598" width="6.140625" customWidth="1"/>
    <col min="14599" max="14599" width="8.140625" customWidth="1"/>
    <col min="14600" max="14600" width="6.140625" customWidth="1"/>
    <col min="14601" max="14601" width="8.5703125" customWidth="1"/>
    <col min="14602" max="14602" width="6.28515625" customWidth="1"/>
    <col min="14603" max="14603" width="7.85546875" customWidth="1"/>
    <col min="14604" max="14604" width="6.28515625" customWidth="1"/>
    <col min="14605" max="14605" width="7" customWidth="1"/>
    <col min="14606" max="14606" width="6.140625" customWidth="1"/>
    <col min="14607" max="14607" width="7" customWidth="1"/>
    <col min="14608" max="14608" width="6.28515625" customWidth="1"/>
    <col min="14609" max="14609" width="9.28515625" customWidth="1"/>
    <col min="14610" max="14610" width="6.28515625" customWidth="1"/>
    <col min="14611" max="14611" width="8.5703125" customWidth="1"/>
    <col min="14612" max="14612" width="6.42578125" customWidth="1"/>
    <col min="14613" max="14613" width="7.7109375" customWidth="1"/>
    <col min="14614" max="14614" width="6.42578125" customWidth="1"/>
    <col min="14849" max="14849" width="4.7109375" customWidth="1"/>
    <col min="14850" max="14850" width="3.140625" customWidth="1"/>
    <col min="14851" max="14851" width="23" bestFit="1" customWidth="1"/>
    <col min="14852" max="14852" width="9.85546875" customWidth="1"/>
    <col min="14853" max="14853" width="10.42578125" customWidth="1"/>
    <col min="14854" max="14854" width="6.140625" customWidth="1"/>
    <col min="14855" max="14855" width="8.140625" customWidth="1"/>
    <col min="14856" max="14856" width="6.140625" customWidth="1"/>
    <col min="14857" max="14857" width="8.5703125" customWidth="1"/>
    <col min="14858" max="14858" width="6.28515625" customWidth="1"/>
    <col min="14859" max="14859" width="7.85546875" customWidth="1"/>
    <col min="14860" max="14860" width="6.28515625" customWidth="1"/>
    <col min="14861" max="14861" width="7" customWidth="1"/>
    <col min="14862" max="14862" width="6.140625" customWidth="1"/>
    <col min="14863" max="14863" width="7" customWidth="1"/>
    <col min="14864" max="14864" width="6.28515625" customWidth="1"/>
    <col min="14865" max="14865" width="9.28515625" customWidth="1"/>
    <col min="14866" max="14866" width="6.28515625" customWidth="1"/>
    <col min="14867" max="14867" width="8.5703125" customWidth="1"/>
    <col min="14868" max="14868" width="6.42578125" customWidth="1"/>
    <col min="14869" max="14869" width="7.7109375" customWidth="1"/>
    <col min="14870" max="14870" width="6.42578125" customWidth="1"/>
    <col min="15105" max="15105" width="4.7109375" customWidth="1"/>
    <col min="15106" max="15106" width="3.140625" customWidth="1"/>
    <col min="15107" max="15107" width="23" bestFit="1" customWidth="1"/>
    <col min="15108" max="15108" width="9.85546875" customWidth="1"/>
    <col min="15109" max="15109" width="10.42578125" customWidth="1"/>
    <col min="15110" max="15110" width="6.140625" customWidth="1"/>
    <col min="15111" max="15111" width="8.140625" customWidth="1"/>
    <col min="15112" max="15112" width="6.140625" customWidth="1"/>
    <col min="15113" max="15113" width="8.5703125" customWidth="1"/>
    <col min="15114" max="15114" width="6.28515625" customWidth="1"/>
    <col min="15115" max="15115" width="7.85546875" customWidth="1"/>
    <col min="15116" max="15116" width="6.28515625" customWidth="1"/>
    <col min="15117" max="15117" width="7" customWidth="1"/>
    <col min="15118" max="15118" width="6.140625" customWidth="1"/>
    <col min="15119" max="15119" width="7" customWidth="1"/>
    <col min="15120" max="15120" width="6.28515625" customWidth="1"/>
    <col min="15121" max="15121" width="9.28515625" customWidth="1"/>
    <col min="15122" max="15122" width="6.28515625" customWidth="1"/>
    <col min="15123" max="15123" width="8.5703125" customWidth="1"/>
    <col min="15124" max="15124" width="6.42578125" customWidth="1"/>
    <col min="15125" max="15125" width="7.7109375" customWidth="1"/>
    <col min="15126" max="15126" width="6.42578125" customWidth="1"/>
    <col min="15361" max="15361" width="4.7109375" customWidth="1"/>
    <col min="15362" max="15362" width="3.140625" customWidth="1"/>
    <col min="15363" max="15363" width="23" bestFit="1" customWidth="1"/>
    <col min="15364" max="15364" width="9.85546875" customWidth="1"/>
    <col min="15365" max="15365" width="10.42578125" customWidth="1"/>
    <col min="15366" max="15366" width="6.140625" customWidth="1"/>
    <col min="15367" max="15367" width="8.140625" customWidth="1"/>
    <col min="15368" max="15368" width="6.140625" customWidth="1"/>
    <col min="15369" max="15369" width="8.5703125" customWidth="1"/>
    <col min="15370" max="15370" width="6.28515625" customWidth="1"/>
    <col min="15371" max="15371" width="7.85546875" customWidth="1"/>
    <col min="15372" max="15372" width="6.28515625" customWidth="1"/>
    <col min="15373" max="15373" width="7" customWidth="1"/>
    <col min="15374" max="15374" width="6.140625" customWidth="1"/>
    <col min="15375" max="15375" width="7" customWidth="1"/>
    <col min="15376" max="15376" width="6.28515625" customWidth="1"/>
    <col min="15377" max="15377" width="9.28515625" customWidth="1"/>
    <col min="15378" max="15378" width="6.28515625" customWidth="1"/>
    <col min="15379" max="15379" width="8.5703125" customWidth="1"/>
    <col min="15380" max="15380" width="6.42578125" customWidth="1"/>
    <col min="15381" max="15381" width="7.7109375" customWidth="1"/>
    <col min="15382" max="15382" width="6.42578125" customWidth="1"/>
    <col min="15617" max="15617" width="4.7109375" customWidth="1"/>
    <col min="15618" max="15618" width="3.140625" customWidth="1"/>
    <col min="15619" max="15619" width="23" bestFit="1" customWidth="1"/>
    <col min="15620" max="15620" width="9.85546875" customWidth="1"/>
    <col min="15621" max="15621" width="10.42578125" customWidth="1"/>
    <col min="15622" max="15622" width="6.140625" customWidth="1"/>
    <col min="15623" max="15623" width="8.140625" customWidth="1"/>
    <col min="15624" max="15624" width="6.140625" customWidth="1"/>
    <col min="15625" max="15625" width="8.5703125" customWidth="1"/>
    <col min="15626" max="15626" width="6.28515625" customWidth="1"/>
    <col min="15627" max="15627" width="7.85546875" customWidth="1"/>
    <col min="15628" max="15628" width="6.28515625" customWidth="1"/>
    <col min="15629" max="15629" width="7" customWidth="1"/>
    <col min="15630" max="15630" width="6.140625" customWidth="1"/>
    <col min="15631" max="15631" width="7" customWidth="1"/>
    <col min="15632" max="15632" width="6.28515625" customWidth="1"/>
    <col min="15633" max="15633" width="9.28515625" customWidth="1"/>
    <col min="15634" max="15634" width="6.28515625" customWidth="1"/>
    <col min="15635" max="15635" width="8.5703125" customWidth="1"/>
    <col min="15636" max="15636" width="6.42578125" customWidth="1"/>
    <col min="15637" max="15637" width="7.7109375" customWidth="1"/>
    <col min="15638" max="15638" width="6.42578125" customWidth="1"/>
    <col min="15873" max="15873" width="4.7109375" customWidth="1"/>
    <col min="15874" max="15874" width="3.140625" customWidth="1"/>
    <col min="15875" max="15875" width="23" bestFit="1" customWidth="1"/>
    <col min="15876" max="15876" width="9.85546875" customWidth="1"/>
    <col min="15877" max="15877" width="10.42578125" customWidth="1"/>
    <col min="15878" max="15878" width="6.140625" customWidth="1"/>
    <col min="15879" max="15879" width="8.140625" customWidth="1"/>
    <col min="15880" max="15880" width="6.140625" customWidth="1"/>
    <col min="15881" max="15881" width="8.5703125" customWidth="1"/>
    <col min="15882" max="15882" width="6.28515625" customWidth="1"/>
    <col min="15883" max="15883" width="7.85546875" customWidth="1"/>
    <col min="15884" max="15884" width="6.28515625" customWidth="1"/>
    <col min="15885" max="15885" width="7" customWidth="1"/>
    <col min="15886" max="15886" width="6.140625" customWidth="1"/>
    <col min="15887" max="15887" width="7" customWidth="1"/>
    <col min="15888" max="15888" width="6.28515625" customWidth="1"/>
    <col min="15889" max="15889" width="9.28515625" customWidth="1"/>
    <col min="15890" max="15890" width="6.28515625" customWidth="1"/>
    <col min="15891" max="15891" width="8.5703125" customWidth="1"/>
    <col min="15892" max="15892" width="6.42578125" customWidth="1"/>
    <col min="15893" max="15893" width="7.7109375" customWidth="1"/>
    <col min="15894" max="15894" width="6.42578125" customWidth="1"/>
    <col min="16129" max="16129" width="4.7109375" customWidth="1"/>
    <col min="16130" max="16130" width="3.140625" customWidth="1"/>
    <col min="16131" max="16131" width="23" bestFit="1" customWidth="1"/>
    <col min="16132" max="16132" width="9.85546875" customWidth="1"/>
    <col min="16133" max="16133" width="10.42578125" customWidth="1"/>
    <col min="16134" max="16134" width="6.140625" customWidth="1"/>
    <col min="16135" max="16135" width="8.140625" customWidth="1"/>
    <col min="16136" max="16136" width="6.140625" customWidth="1"/>
    <col min="16137" max="16137" width="8.5703125" customWidth="1"/>
    <col min="16138" max="16138" width="6.28515625" customWidth="1"/>
    <col min="16139" max="16139" width="7.85546875" customWidth="1"/>
    <col min="16140" max="16140" width="6.28515625" customWidth="1"/>
    <col min="16141" max="16141" width="7" customWidth="1"/>
    <col min="16142" max="16142" width="6.140625" customWidth="1"/>
    <col min="16143" max="16143" width="7" customWidth="1"/>
    <col min="16144" max="16144" width="6.28515625" customWidth="1"/>
    <col min="16145" max="16145" width="9.28515625" customWidth="1"/>
    <col min="16146" max="16146" width="6.28515625" customWidth="1"/>
    <col min="16147" max="16147" width="8.5703125" customWidth="1"/>
    <col min="16148" max="16148" width="6.42578125" customWidth="1"/>
    <col min="16149" max="16149" width="7.7109375" customWidth="1"/>
    <col min="16150" max="16150" width="6.42578125" customWidth="1"/>
  </cols>
  <sheetData>
    <row r="1" spans="1:22" ht="15.2" customHeight="1" x14ac:dyDescent="0.25">
      <c r="A1" s="463" t="s">
        <v>578</v>
      </c>
      <c r="B1" s="463" t="s">
        <v>579</v>
      </c>
      <c r="C1" s="463"/>
      <c r="D1" s="492" t="s">
        <v>503</v>
      </c>
      <c r="E1" s="466" t="s">
        <v>2</v>
      </c>
      <c r="F1" s="466"/>
      <c r="G1" s="466"/>
      <c r="H1" s="466"/>
      <c r="I1" s="466" t="s">
        <v>3</v>
      </c>
      <c r="J1" s="466"/>
      <c r="K1" s="466"/>
      <c r="L1" s="466"/>
      <c r="M1" s="466"/>
      <c r="N1" s="466"/>
      <c r="O1" s="466"/>
      <c r="P1" s="466"/>
      <c r="Q1" s="466" t="s">
        <v>580</v>
      </c>
      <c r="R1" s="466"/>
      <c r="S1" s="466" t="s">
        <v>581</v>
      </c>
      <c r="T1" s="466"/>
      <c r="U1" s="466" t="s">
        <v>26</v>
      </c>
      <c r="V1" s="466"/>
    </row>
    <row r="2" spans="1:22" ht="37.5" customHeight="1" x14ac:dyDescent="0.25">
      <c r="A2" s="463" t="s">
        <v>578</v>
      </c>
      <c r="B2" s="463" t="s">
        <v>579</v>
      </c>
      <c r="C2" s="464"/>
      <c r="D2" s="463" t="s">
        <v>582</v>
      </c>
      <c r="E2" s="466" t="s">
        <v>583</v>
      </c>
      <c r="F2" s="466"/>
      <c r="G2" s="466" t="s">
        <v>584</v>
      </c>
      <c r="H2" s="466"/>
      <c r="I2" s="466" t="s">
        <v>585</v>
      </c>
      <c r="J2" s="466"/>
      <c r="K2" s="466" t="s">
        <v>586</v>
      </c>
      <c r="L2" s="466"/>
      <c r="M2" s="466" t="s">
        <v>587</v>
      </c>
      <c r="N2" s="466"/>
      <c r="O2" s="466" t="s">
        <v>588</v>
      </c>
      <c r="P2" s="466"/>
      <c r="Q2" s="466" t="s">
        <v>580</v>
      </c>
      <c r="R2" s="464"/>
      <c r="S2" s="466" t="s">
        <v>581</v>
      </c>
      <c r="T2" s="464"/>
      <c r="U2" s="466" t="s">
        <v>581</v>
      </c>
      <c r="V2" s="464"/>
    </row>
    <row r="3" spans="1:22" ht="12.95" customHeight="1" x14ac:dyDescent="0.25">
      <c r="A3" s="463" t="s">
        <v>578</v>
      </c>
      <c r="B3" s="463" t="s">
        <v>579</v>
      </c>
      <c r="C3" s="464"/>
      <c r="D3" s="463" t="s">
        <v>582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14</v>
      </c>
      <c r="J3" s="232" t="s">
        <v>13</v>
      </c>
      <c r="K3" s="4" t="s">
        <v>14</v>
      </c>
      <c r="L3" s="4" t="s">
        <v>16</v>
      </c>
      <c r="M3" s="4" t="s">
        <v>17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15</v>
      </c>
      <c r="S3" s="4" t="s">
        <v>20</v>
      </c>
      <c r="T3" s="4" t="s">
        <v>21</v>
      </c>
      <c r="U3" s="4" t="s">
        <v>27</v>
      </c>
      <c r="V3" s="4" t="s">
        <v>28</v>
      </c>
    </row>
    <row r="4" spans="1:22" ht="12" customHeight="1" x14ac:dyDescent="0.25">
      <c r="A4" s="469" t="s">
        <v>589</v>
      </c>
      <c r="B4" s="470" t="s">
        <v>590</v>
      </c>
      <c r="C4" s="470"/>
      <c r="D4" s="1"/>
      <c r="E4" s="1"/>
      <c r="F4" s="1"/>
      <c r="G4" s="1"/>
      <c r="H4" s="1"/>
      <c r="I4" s="1"/>
      <c r="J4" s="233"/>
      <c r="K4" s="1"/>
      <c r="L4" s="1"/>
      <c r="M4" s="1"/>
      <c r="N4" s="1"/>
      <c r="O4" s="1"/>
      <c r="P4" s="1"/>
      <c r="Q4" s="1"/>
      <c r="R4" s="1"/>
      <c r="S4" s="1"/>
      <c r="T4" s="234"/>
      <c r="U4" s="1"/>
      <c r="V4" s="1"/>
    </row>
    <row r="5" spans="1:22" ht="12.75" customHeight="1" x14ac:dyDescent="0.25">
      <c r="A5" s="469" t="s">
        <v>589</v>
      </c>
      <c r="B5" s="3">
        <v>1</v>
      </c>
      <c r="C5" s="2" t="s">
        <v>591</v>
      </c>
      <c r="D5" s="2">
        <v>8173</v>
      </c>
      <c r="E5" s="3">
        <v>0</v>
      </c>
      <c r="F5" s="235">
        <f>E5/D5*100</f>
        <v>0</v>
      </c>
      <c r="G5" s="3">
        <v>944</v>
      </c>
      <c r="H5" s="236">
        <f>G5/D5*100</f>
        <v>11.550226355071578</v>
      </c>
      <c r="I5" s="3">
        <v>4200</v>
      </c>
      <c r="J5" s="236">
        <f>I5/D5*100</f>
        <v>51.388718952648972</v>
      </c>
      <c r="K5" s="3">
        <v>0</v>
      </c>
      <c r="L5" s="237">
        <f>K5/D5*100</f>
        <v>0</v>
      </c>
      <c r="M5" s="3">
        <v>0</v>
      </c>
      <c r="N5" s="237">
        <f>M5/D5*100</f>
        <v>0</v>
      </c>
      <c r="O5" s="3">
        <v>0</v>
      </c>
      <c r="P5" s="237">
        <f>O5/D5*100</f>
        <v>0</v>
      </c>
      <c r="Q5" s="2">
        <f>E5+G5+I5+K5+M5+O5</f>
        <v>5144</v>
      </c>
      <c r="R5" s="455">
        <f>Q5/D5*100</f>
        <v>62.938945307720537</v>
      </c>
      <c r="S5" s="2">
        <f>D5-Q5</f>
        <v>3029</v>
      </c>
      <c r="T5" s="238">
        <f>S5/D5*100</f>
        <v>37.061054692279455</v>
      </c>
      <c r="U5" s="217"/>
      <c r="V5" s="217" t="s">
        <v>507</v>
      </c>
    </row>
    <row r="6" spans="1:22" ht="12.4" customHeight="1" x14ac:dyDescent="0.25">
      <c r="A6" s="469" t="s">
        <v>589</v>
      </c>
      <c r="B6" s="3">
        <v>2</v>
      </c>
      <c r="C6" s="2" t="s">
        <v>592</v>
      </c>
      <c r="D6" s="2">
        <v>16403</v>
      </c>
      <c r="E6" s="3">
        <v>0</v>
      </c>
      <c r="F6" s="235">
        <f t="shared" ref="F6:F13" si="0">E6/D6*100</f>
        <v>0</v>
      </c>
      <c r="G6" s="3">
        <v>260</v>
      </c>
      <c r="H6" s="236">
        <f t="shared" ref="H6:H13" si="1">G6/D6*100</f>
        <v>1.5850759007498629</v>
      </c>
      <c r="I6" s="3">
        <v>3000</v>
      </c>
      <c r="J6" s="236">
        <f t="shared" ref="J6:J13" si="2">I6/D6*100</f>
        <v>18.289337316344572</v>
      </c>
      <c r="K6" s="3">
        <v>0</v>
      </c>
      <c r="L6" s="237">
        <f t="shared" ref="L6:L13" si="3">K6/D6*100</f>
        <v>0</v>
      </c>
      <c r="M6" s="3">
        <v>0</v>
      </c>
      <c r="N6" s="237">
        <f t="shared" ref="N6:N13" si="4">M6/D6*100</f>
        <v>0</v>
      </c>
      <c r="O6" s="3">
        <v>0</v>
      </c>
      <c r="P6" s="237">
        <f t="shared" ref="P6:P13" si="5">O6/D6*100</f>
        <v>0</v>
      </c>
      <c r="Q6" s="2">
        <f t="shared" ref="Q6:Q13" si="6">E6+G6+I6+K6+M6+O6</f>
        <v>3260</v>
      </c>
      <c r="R6" s="455">
        <f t="shared" ref="R6:R13" si="7">Q6/D6*100</f>
        <v>19.874413217094432</v>
      </c>
      <c r="S6" s="2">
        <f t="shared" ref="S6:S13" si="8">D6-Q6</f>
        <v>13143</v>
      </c>
      <c r="T6" s="238">
        <f t="shared" ref="T6:T13" si="9">S6/D6*100</f>
        <v>80.125586782905572</v>
      </c>
      <c r="U6" s="3"/>
      <c r="V6" s="217" t="s">
        <v>507</v>
      </c>
    </row>
    <row r="7" spans="1:22" ht="12.6" customHeight="1" x14ac:dyDescent="0.25">
      <c r="A7" s="469" t="s">
        <v>589</v>
      </c>
      <c r="B7" s="3">
        <v>3</v>
      </c>
      <c r="C7" s="2" t="s">
        <v>593</v>
      </c>
      <c r="D7" s="2">
        <v>14627</v>
      </c>
      <c r="E7" s="3">
        <v>0</v>
      </c>
      <c r="F7" s="235">
        <f t="shared" si="0"/>
        <v>0</v>
      </c>
      <c r="G7" s="3">
        <v>800</v>
      </c>
      <c r="H7" s="236">
        <f t="shared" si="1"/>
        <v>5.4693375264921036</v>
      </c>
      <c r="I7" s="3">
        <v>5115</v>
      </c>
      <c r="J7" s="236">
        <f t="shared" si="2"/>
        <v>34.969576810008888</v>
      </c>
      <c r="K7" s="3">
        <v>0</v>
      </c>
      <c r="L7" s="237">
        <f t="shared" si="3"/>
        <v>0</v>
      </c>
      <c r="M7" s="3">
        <v>0</v>
      </c>
      <c r="N7" s="237">
        <f t="shared" si="4"/>
        <v>0</v>
      </c>
      <c r="O7" s="3">
        <v>0</v>
      </c>
      <c r="P7" s="237">
        <f t="shared" si="5"/>
        <v>0</v>
      </c>
      <c r="Q7" s="2">
        <f t="shared" si="6"/>
        <v>5915</v>
      </c>
      <c r="R7" s="455">
        <f t="shared" si="7"/>
        <v>40.438914336500993</v>
      </c>
      <c r="S7" s="2">
        <f t="shared" si="8"/>
        <v>8712</v>
      </c>
      <c r="T7" s="238">
        <f t="shared" si="9"/>
        <v>59.561085663499014</v>
      </c>
      <c r="U7" s="217" t="s">
        <v>507</v>
      </c>
      <c r="V7" s="217"/>
    </row>
    <row r="8" spans="1:22" ht="12.4" customHeight="1" x14ac:dyDescent="0.25">
      <c r="A8" s="469" t="s">
        <v>589</v>
      </c>
      <c r="B8" s="3">
        <v>4</v>
      </c>
      <c r="C8" s="2" t="s">
        <v>594</v>
      </c>
      <c r="D8" s="2">
        <v>7152</v>
      </c>
      <c r="E8" s="3">
        <v>0</v>
      </c>
      <c r="F8" s="235">
        <f t="shared" si="0"/>
        <v>0</v>
      </c>
      <c r="G8" s="3">
        <v>508</v>
      </c>
      <c r="H8" s="236">
        <f t="shared" si="1"/>
        <v>7.1029082774049224</v>
      </c>
      <c r="I8" s="3">
        <v>4983</v>
      </c>
      <c r="J8" s="236">
        <f t="shared" si="2"/>
        <v>69.672818791946312</v>
      </c>
      <c r="K8" s="3">
        <v>0</v>
      </c>
      <c r="L8" s="237">
        <f t="shared" si="3"/>
        <v>0</v>
      </c>
      <c r="M8" s="3">
        <v>0</v>
      </c>
      <c r="N8" s="237">
        <f t="shared" si="4"/>
        <v>0</v>
      </c>
      <c r="O8" s="3">
        <v>0</v>
      </c>
      <c r="P8" s="237">
        <f t="shared" si="5"/>
        <v>0</v>
      </c>
      <c r="Q8" s="2">
        <f t="shared" si="6"/>
        <v>5491</v>
      </c>
      <c r="R8" s="455">
        <f t="shared" si="7"/>
        <v>76.775727069351234</v>
      </c>
      <c r="S8" s="2">
        <f t="shared" si="8"/>
        <v>1661</v>
      </c>
      <c r="T8" s="238">
        <f t="shared" si="9"/>
        <v>23.22427293064877</v>
      </c>
      <c r="U8" s="217" t="s">
        <v>507</v>
      </c>
      <c r="V8" s="217"/>
    </row>
    <row r="9" spans="1:22" ht="12.4" customHeight="1" x14ac:dyDescent="0.25">
      <c r="A9" s="469" t="s">
        <v>589</v>
      </c>
      <c r="B9" s="3">
        <v>5</v>
      </c>
      <c r="C9" s="2" t="s">
        <v>595</v>
      </c>
      <c r="D9" s="2">
        <v>9824</v>
      </c>
      <c r="E9" s="3">
        <v>0</v>
      </c>
      <c r="F9" s="235">
        <f t="shared" si="0"/>
        <v>0</v>
      </c>
      <c r="G9" s="3">
        <v>0</v>
      </c>
      <c r="H9" s="236">
        <f t="shared" si="1"/>
        <v>0</v>
      </c>
      <c r="I9" s="3">
        <v>1620</v>
      </c>
      <c r="J9" s="236">
        <f t="shared" si="2"/>
        <v>16.490228013029316</v>
      </c>
      <c r="K9" s="3">
        <v>0</v>
      </c>
      <c r="L9" s="237">
        <f t="shared" si="3"/>
        <v>0</v>
      </c>
      <c r="M9" s="3">
        <v>0</v>
      </c>
      <c r="N9" s="237">
        <f t="shared" si="4"/>
        <v>0</v>
      </c>
      <c r="O9" s="3">
        <v>0</v>
      </c>
      <c r="P9" s="237">
        <f t="shared" si="5"/>
        <v>0</v>
      </c>
      <c r="Q9" s="2">
        <f t="shared" si="6"/>
        <v>1620</v>
      </c>
      <c r="R9" s="455">
        <f t="shared" si="7"/>
        <v>16.490228013029316</v>
      </c>
      <c r="S9" s="2">
        <f t="shared" si="8"/>
        <v>8204</v>
      </c>
      <c r="T9" s="238">
        <f t="shared" si="9"/>
        <v>83.509771986970676</v>
      </c>
      <c r="U9" s="217" t="s">
        <v>507</v>
      </c>
      <c r="V9" s="2"/>
    </row>
    <row r="10" spans="1:22" ht="12.6" customHeight="1" x14ac:dyDescent="0.25">
      <c r="A10" s="469" t="s">
        <v>589</v>
      </c>
      <c r="B10" s="3">
        <v>6</v>
      </c>
      <c r="C10" s="2" t="s">
        <v>596</v>
      </c>
      <c r="D10" s="2">
        <v>7013</v>
      </c>
      <c r="E10" s="3">
        <v>0</v>
      </c>
      <c r="F10" s="235">
        <f t="shared" si="0"/>
        <v>0</v>
      </c>
      <c r="G10" s="3">
        <v>120</v>
      </c>
      <c r="H10" s="236">
        <f t="shared" si="1"/>
        <v>1.7111079423926991</v>
      </c>
      <c r="I10" s="3">
        <v>4500</v>
      </c>
      <c r="J10" s="236">
        <f t="shared" si="2"/>
        <v>64.166547839726221</v>
      </c>
      <c r="K10" s="3">
        <v>0</v>
      </c>
      <c r="L10" s="237">
        <f t="shared" si="3"/>
        <v>0</v>
      </c>
      <c r="M10" s="3">
        <v>0</v>
      </c>
      <c r="N10" s="237">
        <f t="shared" si="4"/>
        <v>0</v>
      </c>
      <c r="O10" s="3">
        <v>0</v>
      </c>
      <c r="P10" s="237">
        <f t="shared" si="5"/>
        <v>0</v>
      </c>
      <c r="Q10" s="2">
        <f t="shared" si="6"/>
        <v>4620</v>
      </c>
      <c r="R10" s="455">
        <f t="shared" si="7"/>
        <v>65.877655782118921</v>
      </c>
      <c r="S10" s="2">
        <f t="shared" si="8"/>
        <v>2393</v>
      </c>
      <c r="T10" s="238">
        <f t="shared" si="9"/>
        <v>34.122344217881079</v>
      </c>
      <c r="U10" s="3"/>
      <c r="V10" s="217" t="s">
        <v>507</v>
      </c>
    </row>
    <row r="11" spans="1:22" ht="12.75" customHeight="1" x14ac:dyDescent="0.25">
      <c r="A11" s="469" t="s">
        <v>589</v>
      </c>
      <c r="B11" s="3">
        <v>7</v>
      </c>
      <c r="C11" s="2" t="s">
        <v>597</v>
      </c>
      <c r="D11" s="2">
        <v>6334</v>
      </c>
      <c r="E11" s="3">
        <v>0</v>
      </c>
      <c r="F11" s="235">
        <f t="shared" si="0"/>
        <v>0</v>
      </c>
      <c r="G11" s="3">
        <v>2120</v>
      </c>
      <c r="H11" s="236">
        <f t="shared" si="1"/>
        <v>33.470161035680455</v>
      </c>
      <c r="I11" s="3">
        <v>3528</v>
      </c>
      <c r="J11" s="236">
        <f t="shared" si="2"/>
        <v>55.699400063151252</v>
      </c>
      <c r="K11" s="3">
        <v>0</v>
      </c>
      <c r="L11" s="237">
        <f t="shared" si="3"/>
        <v>0</v>
      </c>
      <c r="M11" s="3">
        <v>0</v>
      </c>
      <c r="N11" s="237">
        <f t="shared" si="4"/>
        <v>0</v>
      </c>
      <c r="O11" s="3">
        <v>0</v>
      </c>
      <c r="P11" s="237">
        <f t="shared" si="5"/>
        <v>0</v>
      </c>
      <c r="Q11" s="2">
        <f t="shared" si="6"/>
        <v>5648</v>
      </c>
      <c r="R11" s="455">
        <f t="shared" si="7"/>
        <v>89.169561098831707</v>
      </c>
      <c r="S11" s="2">
        <f t="shared" si="8"/>
        <v>686</v>
      </c>
      <c r="T11" s="238">
        <f t="shared" si="9"/>
        <v>10.830438901168298</v>
      </c>
      <c r="U11" s="3"/>
      <c r="V11" s="217" t="s">
        <v>507</v>
      </c>
    </row>
    <row r="12" spans="1:22" ht="12.75" customHeight="1" x14ac:dyDescent="0.25">
      <c r="A12" s="469"/>
      <c r="B12" s="3">
        <v>8</v>
      </c>
      <c r="C12" s="2" t="s">
        <v>598</v>
      </c>
      <c r="D12" s="2">
        <v>1491</v>
      </c>
      <c r="E12" s="3">
        <v>0</v>
      </c>
      <c r="F12" s="235">
        <f t="shared" si="0"/>
        <v>0</v>
      </c>
      <c r="G12" s="3">
        <v>0</v>
      </c>
      <c r="H12" s="236">
        <f t="shared" si="1"/>
        <v>0</v>
      </c>
      <c r="I12" s="3">
        <v>549</v>
      </c>
      <c r="J12" s="236">
        <f t="shared" si="2"/>
        <v>36.820925553319924</v>
      </c>
      <c r="K12" s="3">
        <v>0</v>
      </c>
      <c r="L12" s="237">
        <f t="shared" si="3"/>
        <v>0</v>
      </c>
      <c r="M12" s="3">
        <v>0</v>
      </c>
      <c r="N12" s="237">
        <f t="shared" si="4"/>
        <v>0</v>
      </c>
      <c r="O12" s="3">
        <v>414</v>
      </c>
      <c r="P12" s="237">
        <f t="shared" si="5"/>
        <v>27.766599597585511</v>
      </c>
      <c r="Q12" s="2">
        <f t="shared" si="6"/>
        <v>963</v>
      </c>
      <c r="R12" s="455">
        <f t="shared" si="7"/>
        <v>64.587525150905435</v>
      </c>
      <c r="S12" s="2">
        <f t="shared" si="8"/>
        <v>528</v>
      </c>
      <c r="T12" s="238">
        <f t="shared" si="9"/>
        <v>35.412474849094565</v>
      </c>
      <c r="U12" s="3"/>
      <c r="V12" s="217" t="s">
        <v>507</v>
      </c>
    </row>
    <row r="13" spans="1:22" ht="12.75" customHeight="1" x14ac:dyDescent="0.25">
      <c r="A13" s="469"/>
      <c r="B13" s="3">
        <v>9</v>
      </c>
      <c r="C13" s="2" t="s">
        <v>599</v>
      </c>
      <c r="D13" s="2">
        <v>4090</v>
      </c>
      <c r="E13" s="3">
        <v>0</v>
      </c>
      <c r="F13" s="235">
        <f t="shared" si="0"/>
        <v>0</v>
      </c>
      <c r="G13" s="3">
        <v>332</v>
      </c>
      <c r="H13" s="236">
        <f t="shared" si="1"/>
        <v>8.1173594132029336</v>
      </c>
      <c r="I13" s="3">
        <v>2600</v>
      </c>
      <c r="J13" s="236">
        <f t="shared" si="2"/>
        <v>63.569682151589248</v>
      </c>
      <c r="K13" s="3">
        <v>0</v>
      </c>
      <c r="L13" s="237">
        <f t="shared" si="3"/>
        <v>0</v>
      </c>
      <c r="M13" s="3">
        <v>0</v>
      </c>
      <c r="N13" s="237">
        <f t="shared" si="4"/>
        <v>0</v>
      </c>
      <c r="O13" s="3">
        <v>0</v>
      </c>
      <c r="P13" s="237">
        <f t="shared" si="5"/>
        <v>0</v>
      </c>
      <c r="Q13" s="2">
        <f t="shared" si="6"/>
        <v>2932</v>
      </c>
      <c r="R13" s="455">
        <f t="shared" si="7"/>
        <v>71.687041564792182</v>
      </c>
      <c r="S13" s="2">
        <f t="shared" si="8"/>
        <v>1158</v>
      </c>
      <c r="T13" s="238">
        <f t="shared" si="9"/>
        <v>28.312958435207825</v>
      </c>
      <c r="U13" s="217" t="s">
        <v>507</v>
      </c>
      <c r="V13" s="2"/>
    </row>
    <row r="14" spans="1:22" ht="12.75" customHeight="1" x14ac:dyDescent="0.25">
      <c r="A14" s="469"/>
      <c r="B14" s="445"/>
      <c r="C14" s="446"/>
      <c r="D14" s="446"/>
      <c r="E14" s="445"/>
      <c r="F14" s="447"/>
      <c r="G14" s="445"/>
      <c r="H14" s="448"/>
      <c r="I14" s="445"/>
      <c r="J14" s="448"/>
      <c r="K14" s="445"/>
      <c r="L14" s="449"/>
      <c r="M14" s="445"/>
      <c r="N14" s="449"/>
      <c r="O14" s="445"/>
      <c r="P14" s="449"/>
      <c r="Q14" s="446"/>
      <c r="R14" s="450">
        <f>(R5+R6+R7+R8+R9+R10+R11+R12+R13)/9</f>
        <v>56.426667948927197</v>
      </c>
      <c r="S14" s="450"/>
      <c r="T14" s="451"/>
      <c r="U14" s="452"/>
      <c r="V14" s="446"/>
    </row>
    <row r="15" spans="1:22" ht="12.2" customHeight="1" x14ac:dyDescent="0.25">
      <c r="A15" s="469" t="s">
        <v>589</v>
      </c>
      <c r="B15" s="471" t="s">
        <v>23</v>
      </c>
      <c r="C15" s="471"/>
      <c r="D15" s="225">
        <f>SUM(D5:D13)</f>
        <v>75107</v>
      </c>
      <c r="E15" s="225">
        <f>SUM(E5:E13)</f>
        <v>0</v>
      </c>
      <c r="F15" s="225"/>
      <c r="G15" s="225">
        <f>SUM(G5:G13)</f>
        <v>5084</v>
      </c>
      <c r="H15" s="225"/>
      <c r="I15" s="225">
        <f>SUM(I5:I13)</f>
        <v>30095</v>
      </c>
      <c r="J15" s="239"/>
      <c r="K15" s="225">
        <f>SUM(K5:K13)</f>
        <v>0</v>
      </c>
      <c r="L15" s="225"/>
      <c r="M15" s="225">
        <f>SUM(M5:M13)</f>
        <v>0</v>
      </c>
      <c r="N15" s="98"/>
      <c r="O15" s="225">
        <f>SUM(O5:O13)</f>
        <v>414</v>
      </c>
      <c r="P15" s="98"/>
      <c r="Q15" s="225">
        <f>SUM(Q5:Q13)</f>
        <v>35593</v>
      </c>
      <c r="R15" s="225"/>
      <c r="S15" s="225">
        <f>SUM(S5:S13)</f>
        <v>39514</v>
      </c>
      <c r="T15" s="240"/>
      <c r="U15" s="225"/>
      <c r="V15" s="225"/>
    </row>
    <row r="16" spans="1:22" ht="12.2" customHeight="1" x14ac:dyDescent="0.25">
      <c r="A16" s="469" t="s">
        <v>600</v>
      </c>
      <c r="B16" s="470" t="s">
        <v>601</v>
      </c>
      <c r="C16" s="470"/>
      <c r="D16" s="1"/>
      <c r="E16" s="1"/>
      <c r="F16" s="1"/>
      <c r="G16" s="1"/>
      <c r="H16" s="1"/>
      <c r="I16" s="1"/>
      <c r="J16" s="233"/>
      <c r="K16" s="1"/>
      <c r="L16" s="1"/>
      <c r="M16" s="1"/>
      <c r="N16" s="1"/>
      <c r="O16" s="1"/>
      <c r="P16" s="1"/>
      <c r="Q16" s="1"/>
      <c r="R16" s="1"/>
      <c r="S16" s="1"/>
      <c r="T16" s="234"/>
      <c r="U16" s="1"/>
      <c r="V16" s="1"/>
    </row>
    <row r="17" spans="1:22" ht="12.75" customHeight="1" x14ac:dyDescent="0.25">
      <c r="A17" s="469" t="s">
        <v>600</v>
      </c>
      <c r="B17" s="3">
        <v>10</v>
      </c>
      <c r="C17" s="2" t="s">
        <v>602</v>
      </c>
      <c r="D17" s="2">
        <v>4472</v>
      </c>
      <c r="E17" s="3">
        <v>0</v>
      </c>
      <c r="F17" s="241">
        <f t="shared" ref="F17:F26" si="10">E17/D17*100</f>
        <v>0</v>
      </c>
      <c r="G17" s="3">
        <v>156</v>
      </c>
      <c r="H17" s="236">
        <f t="shared" ref="H17:H26" si="11">G17/D17*100</f>
        <v>3.4883720930232558</v>
      </c>
      <c r="I17" s="3">
        <v>297</v>
      </c>
      <c r="J17" s="236">
        <f t="shared" ref="J17:J26" si="12">I17/D17*100</f>
        <v>6.6413237924865838</v>
      </c>
      <c r="K17" s="3">
        <v>0</v>
      </c>
      <c r="L17" s="237">
        <f t="shared" ref="L17:L26" si="13">K17/D17*100</f>
        <v>0</v>
      </c>
      <c r="M17" s="3">
        <v>0</v>
      </c>
      <c r="N17" s="237">
        <f t="shared" ref="N17:N26" si="14">M17/D17*100</f>
        <v>0</v>
      </c>
      <c r="O17" s="3">
        <v>0</v>
      </c>
      <c r="P17" s="237">
        <f t="shared" ref="P17:P26" si="15">O17/D17*100</f>
        <v>0</v>
      </c>
      <c r="Q17" s="2">
        <f t="shared" ref="Q17:Q26" si="16">E17+G17+I17+K17+M17+O17</f>
        <v>453</v>
      </c>
      <c r="R17" s="455">
        <f t="shared" ref="R17:R26" si="17">Q17/D17*100</f>
        <v>10.12969588550984</v>
      </c>
      <c r="S17" s="2">
        <f t="shared" ref="S17:S26" si="18">D17-Q17</f>
        <v>4019</v>
      </c>
      <c r="T17" s="238">
        <f t="shared" ref="T17:T26" si="19">S17/D17*100</f>
        <v>89.870304114490168</v>
      </c>
      <c r="U17" s="3"/>
      <c r="V17" s="217" t="s">
        <v>507</v>
      </c>
    </row>
    <row r="18" spans="1:22" ht="12.4" customHeight="1" x14ac:dyDescent="0.25">
      <c r="A18" s="469" t="s">
        <v>600</v>
      </c>
      <c r="B18" s="3">
        <f>B17+1</f>
        <v>11</v>
      </c>
      <c r="C18" s="2" t="s">
        <v>603</v>
      </c>
      <c r="D18" s="2">
        <v>4402</v>
      </c>
      <c r="E18" s="3">
        <v>2061</v>
      </c>
      <c r="F18" s="241">
        <f t="shared" si="10"/>
        <v>46.819627442071784</v>
      </c>
      <c r="G18" s="3">
        <v>1348</v>
      </c>
      <c r="H18" s="236">
        <f t="shared" si="11"/>
        <v>30.622444343480236</v>
      </c>
      <c r="I18" s="3">
        <v>324</v>
      </c>
      <c r="J18" s="236">
        <f t="shared" si="12"/>
        <v>7.3602907769195811</v>
      </c>
      <c r="K18" s="3">
        <v>0</v>
      </c>
      <c r="L18" s="237">
        <f t="shared" si="13"/>
        <v>0</v>
      </c>
      <c r="M18" s="3">
        <v>0</v>
      </c>
      <c r="N18" s="237">
        <f t="shared" si="14"/>
        <v>0</v>
      </c>
      <c r="O18" s="3">
        <v>0</v>
      </c>
      <c r="P18" s="237">
        <f t="shared" si="15"/>
        <v>0</v>
      </c>
      <c r="Q18" s="2">
        <f t="shared" si="16"/>
        <v>3733</v>
      </c>
      <c r="R18" s="455">
        <f t="shared" si="17"/>
        <v>84.8023625624716</v>
      </c>
      <c r="S18" s="2">
        <f t="shared" si="18"/>
        <v>669</v>
      </c>
      <c r="T18" s="238">
        <f t="shared" si="19"/>
        <v>15.197637437528396</v>
      </c>
      <c r="U18" s="2"/>
      <c r="V18" s="217" t="s">
        <v>507</v>
      </c>
    </row>
    <row r="19" spans="1:22" ht="12.6" customHeight="1" x14ac:dyDescent="0.25">
      <c r="A19" s="469" t="s">
        <v>600</v>
      </c>
      <c r="B19" s="3">
        <f t="shared" ref="B19:B26" si="20">B18+1</f>
        <v>12</v>
      </c>
      <c r="C19" s="2" t="s">
        <v>604</v>
      </c>
      <c r="D19" s="2">
        <v>6606</v>
      </c>
      <c r="E19" s="3">
        <v>2664</v>
      </c>
      <c r="F19" s="241">
        <f t="shared" si="10"/>
        <v>40.326975476839237</v>
      </c>
      <c r="G19" s="3">
        <v>0</v>
      </c>
      <c r="H19" s="236">
        <f t="shared" si="11"/>
        <v>0</v>
      </c>
      <c r="I19" s="3">
        <v>2070</v>
      </c>
      <c r="J19" s="236">
        <f t="shared" si="12"/>
        <v>31.335149863760218</v>
      </c>
      <c r="K19" s="3">
        <v>0</v>
      </c>
      <c r="L19" s="237">
        <f t="shared" si="13"/>
        <v>0</v>
      </c>
      <c r="M19" s="3">
        <v>0</v>
      </c>
      <c r="N19" s="237">
        <f t="shared" si="14"/>
        <v>0</v>
      </c>
      <c r="O19" s="3">
        <v>0</v>
      </c>
      <c r="P19" s="237">
        <f t="shared" si="15"/>
        <v>0</v>
      </c>
      <c r="Q19" s="2">
        <f t="shared" si="16"/>
        <v>4734</v>
      </c>
      <c r="R19" s="455">
        <f t="shared" si="17"/>
        <v>71.662125340599459</v>
      </c>
      <c r="S19" s="2">
        <f t="shared" si="18"/>
        <v>1872</v>
      </c>
      <c r="T19" s="238">
        <f t="shared" si="19"/>
        <v>28.337874659400548</v>
      </c>
      <c r="U19" s="3"/>
      <c r="V19" s="217" t="s">
        <v>507</v>
      </c>
    </row>
    <row r="20" spans="1:22" ht="12.4" customHeight="1" x14ac:dyDescent="0.25">
      <c r="A20" s="469" t="s">
        <v>600</v>
      </c>
      <c r="B20" s="3">
        <f t="shared" si="20"/>
        <v>13</v>
      </c>
      <c r="C20" s="2" t="s">
        <v>605</v>
      </c>
      <c r="D20" s="2">
        <v>4233</v>
      </c>
      <c r="E20" s="3">
        <v>2532</v>
      </c>
      <c r="F20" s="241">
        <f t="shared" si="10"/>
        <v>59.815733522324585</v>
      </c>
      <c r="G20" s="3">
        <v>0</v>
      </c>
      <c r="H20" s="236">
        <f t="shared" si="11"/>
        <v>0</v>
      </c>
      <c r="I20" s="3">
        <v>873</v>
      </c>
      <c r="J20" s="236">
        <f t="shared" si="12"/>
        <v>20.623671155209074</v>
      </c>
      <c r="K20" s="3">
        <v>0</v>
      </c>
      <c r="L20" s="237">
        <f t="shared" si="13"/>
        <v>0</v>
      </c>
      <c r="M20" s="3">
        <v>0</v>
      </c>
      <c r="N20" s="237">
        <f t="shared" si="14"/>
        <v>0</v>
      </c>
      <c r="O20" s="3">
        <v>0</v>
      </c>
      <c r="P20" s="237">
        <f t="shared" si="15"/>
        <v>0</v>
      </c>
      <c r="Q20" s="2">
        <f t="shared" si="16"/>
        <v>3405</v>
      </c>
      <c r="R20" s="455">
        <f t="shared" si="17"/>
        <v>80.439404677533659</v>
      </c>
      <c r="S20" s="2">
        <f t="shared" si="18"/>
        <v>828</v>
      </c>
      <c r="T20" s="238">
        <f t="shared" si="19"/>
        <v>19.560595322466337</v>
      </c>
      <c r="U20" s="2"/>
      <c r="V20" s="217" t="s">
        <v>507</v>
      </c>
    </row>
    <row r="21" spans="1:22" ht="12.4" customHeight="1" x14ac:dyDescent="0.25">
      <c r="A21" s="469"/>
      <c r="B21" s="3">
        <f t="shared" si="20"/>
        <v>14</v>
      </c>
      <c r="C21" s="2" t="s">
        <v>606</v>
      </c>
      <c r="D21" s="2">
        <v>5543</v>
      </c>
      <c r="E21" s="3">
        <v>0</v>
      </c>
      <c r="F21" s="241">
        <f t="shared" si="10"/>
        <v>0</v>
      </c>
      <c r="G21" s="3">
        <v>640</v>
      </c>
      <c r="H21" s="236">
        <f t="shared" si="11"/>
        <v>11.546094172830596</v>
      </c>
      <c r="I21" s="3">
        <v>3678</v>
      </c>
      <c r="J21" s="236">
        <f t="shared" si="12"/>
        <v>66.353959949485841</v>
      </c>
      <c r="K21" s="3">
        <v>0</v>
      </c>
      <c r="L21" s="237">
        <f t="shared" si="13"/>
        <v>0</v>
      </c>
      <c r="M21" s="3">
        <v>0</v>
      </c>
      <c r="N21" s="237">
        <f t="shared" si="14"/>
        <v>0</v>
      </c>
      <c r="O21" s="3">
        <v>0</v>
      </c>
      <c r="P21" s="237">
        <f t="shared" si="15"/>
        <v>0</v>
      </c>
      <c r="Q21" s="2">
        <f t="shared" si="16"/>
        <v>4318</v>
      </c>
      <c r="R21" s="455">
        <f t="shared" si="17"/>
        <v>77.900054122316433</v>
      </c>
      <c r="S21" s="2">
        <f t="shared" si="18"/>
        <v>1225</v>
      </c>
      <c r="T21" s="238">
        <f t="shared" si="19"/>
        <v>22.099945877683567</v>
      </c>
      <c r="U21" s="2"/>
      <c r="V21" s="217" t="s">
        <v>507</v>
      </c>
    </row>
    <row r="22" spans="1:22" ht="12.4" customHeight="1" x14ac:dyDescent="0.25">
      <c r="A22" s="469"/>
      <c r="B22" s="3">
        <f t="shared" si="20"/>
        <v>15</v>
      </c>
      <c r="C22" s="2" t="s">
        <v>607</v>
      </c>
      <c r="D22" s="2">
        <v>3446</v>
      </c>
      <c r="E22" s="3">
        <v>0</v>
      </c>
      <c r="F22" s="241">
        <f t="shared" si="10"/>
        <v>0</v>
      </c>
      <c r="G22" s="3">
        <v>240</v>
      </c>
      <c r="H22" s="236">
        <f t="shared" si="11"/>
        <v>6.9645966337782932</v>
      </c>
      <c r="I22" s="3">
        <v>294</v>
      </c>
      <c r="J22" s="236">
        <f t="shared" si="12"/>
        <v>8.5316308763784097</v>
      </c>
      <c r="K22" s="3">
        <v>0</v>
      </c>
      <c r="L22" s="237">
        <f t="shared" si="13"/>
        <v>0</v>
      </c>
      <c r="M22" s="3">
        <v>0</v>
      </c>
      <c r="N22" s="237">
        <f t="shared" si="14"/>
        <v>0</v>
      </c>
      <c r="O22" s="3">
        <v>0</v>
      </c>
      <c r="P22" s="237">
        <f t="shared" si="15"/>
        <v>0</v>
      </c>
      <c r="Q22" s="2">
        <f t="shared" si="16"/>
        <v>534</v>
      </c>
      <c r="R22" s="455">
        <f t="shared" si="17"/>
        <v>15.496227510156704</v>
      </c>
      <c r="S22" s="2">
        <f t="shared" si="18"/>
        <v>2912</v>
      </c>
      <c r="T22" s="238">
        <f t="shared" si="19"/>
        <v>84.5037724898433</v>
      </c>
      <c r="U22" s="2"/>
      <c r="V22" s="217" t="s">
        <v>507</v>
      </c>
    </row>
    <row r="23" spans="1:22" ht="12.4" customHeight="1" x14ac:dyDescent="0.25">
      <c r="A23" s="469"/>
      <c r="B23" s="3">
        <f t="shared" si="20"/>
        <v>16</v>
      </c>
      <c r="C23" s="2" t="s">
        <v>608</v>
      </c>
      <c r="D23" s="2">
        <v>9243</v>
      </c>
      <c r="E23" s="3">
        <v>3480</v>
      </c>
      <c r="F23" s="241">
        <f t="shared" si="10"/>
        <v>37.65011359948069</v>
      </c>
      <c r="G23" s="3">
        <v>0</v>
      </c>
      <c r="H23" s="236">
        <f t="shared" si="11"/>
        <v>0</v>
      </c>
      <c r="I23" s="3">
        <v>810</v>
      </c>
      <c r="J23" s="236">
        <f t="shared" si="12"/>
        <v>8.7633885102239528</v>
      </c>
      <c r="K23" s="3">
        <v>0</v>
      </c>
      <c r="L23" s="237">
        <f t="shared" si="13"/>
        <v>0</v>
      </c>
      <c r="M23" s="3">
        <v>0</v>
      </c>
      <c r="N23" s="237">
        <f t="shared" si="14"/>
        <v>0</v>
      </c>
      <c r="O23" s="3">
        <v>0</v>
      </c>
      <c r="P23" s="237">
        <f t="shared" si="15"/>
        <v>0</v>
      </c>
      <c r="Q23" s="2">
        <f t="shared" si="16"/>
        <v>4290</v>
      </c>
      <c r="R23" s="455">
        <f t="shared" si="17"/>
        <v>46.413502109704638</v>
      </c>
      <c r="S23" s="2">
        <f t="shared" si="18"/>
        <v>4953</v>
      </c>
      <c r="T23" s="238">
        <f t="shared" si="19"/>
        <v>53.586497890295362</v>
      </c>
      <c r="U23" s="2"/>
      <c r="V23" s="217" t="s">
        <v>507</v>
      </c>
    </row>
    <row r="24" spans="1:22" ht="12.4" customHeight="1" x14ac:dyDescent="0.25">
      <c r="A24" s="469"/>
      <c r="B24" s="3">
        <f t="shared" si="20"/>
        <v>17</v>
      </c>
      <c r="C24" s="2" t="s">
        <v>609</v>
      </c>
      <c r="D24" s="2">
        <v>7336</v>
      </c>
      <c r="E24" s="3">
        <v>0</v>
      </c>
      <c r="F24" s="241">
        <f t="shared" si="10"/>
        <v>0</v>
      </c>
      <c r="G24" s="3">
        <v>784</v>
      </c>
      <c r="H24" s="236">
        <f t="shared" si="11"/>
        <v>10.687022900763358</v>
      </c>
      <c r="I24" s="3">
        <v>2775</v>
      </c>
      <c r="J24" s="236">
        <f t="shared" si="12"/>
        <v>37.827153762268267</v>
      </c>
      <c r="K24" s="3">
        <v>0</v>
      </c>
      <c r="L24" s="237">
        <f t="shared" si="13"/>
        <v>0</v>
      </c>
      <c r="M24" s="3">
        <v>0</v>
      </c>
      <c r="N24" s="237">
        <f t="shared" si="14"/>
        <v>0</v>
      </c>
      <c r="O24" s="3">
        <v>0</v>
      </c>
      <c r="P24" s="237">
        <f t="shared" si="15"/>
        <v>0</v>
      </c>
      <c r="Q24" s="2">
        <f t="shared" si="16"/>
        <v>3559</v>
      </c>
      <c r="R24" s="455">
        <f t="shared" si="17"/>
        <v>48.514176663031627</v>
      </c>
      <c r="S24" s="2">
        <f t="shared" si="18"/>
        <v>3777</v>
      </c>
      <c r="T24" s="238">
        <f t="shared" si="19"/>
        <v>51.485823336968373</v>
      </c>
      <c r="U24" s="2"/>
      <c r="V24" s="217" t="s">
        <v>507</v>
      </c>
    </row>
    <row r="25" spans="1:22" ht="12.4" customHeight="1" x14ac:dyDescent="0.25">
      <c r="A25" s="469"/>
      <c r="B25" s="3">
        <f t="shared" si="20"/>
        <v>18</v>
      </c>
      <c r="C25" s="2" t="s">
        <v>610</v>
      </c>
      <c r="D25" s="2">
        <v>4677</v>
      </c>
      <c r="E25" s="3">
        <v>0</v>
      </c>
      <c r="F25" s="241">
        <f t="shared" si="10"/>
        <v>0</v>
      </c>
      <c r="G25" s="3">
        <v>172</v>
      </c>
      <c r="H25" s="236">
        <f t="shared" si="11"/>
        <v>3.6775710925807141</v>
      </c>
      <c r="I25" s="3">
        <v>2316</v>
      </c>
      <c r="J25" s="236">
        <f t="shared" si="12"/>
        <v>49.518922386144965</v>
      </c>
      <c r="K25" s="3">
        <v>0</v>
      </c>
      <c r="L25" s="237">
        <f t="shared" si="13"/>
        <v>0</v>
      </c>
      <c r="M25" s="3">
        <v>0</v>
      </c>
      <c r="N25" s="237">
        <f t="shared" si="14"/>
        <v>0</v>
      </c>
      <c r="O25" s="3">
        <v>0</v>
      </c>
      <c r="P25" s="237">
        <f t="shared" si="15"/>
        <v>0</v>
      </c>
      <c r="Q25" s="2">
        <f t="shared" si="16"/>
        <v>2488</v>
      </c>
      <c r="R25" s="455">
        <f t="shared" si="17"/>
        <v>53.196493478725685</v>
      </c>
      <c r="S25" s="2">
        <f t="shared" si="18"/>
        <v>2189</v>
      </c>
      <c r="T25" s="238">
        <f t="shared" si="19"/>
        <v>46.803506521274315</v>
      </c>
      <c r="U25" s="2"/>
      <c r="V25" s="217" t="s">
        <v>507</v>
      </c>
    </row>
    <row r="26" spans="1:22" ht="12.4" customHeight="1" x14ac:dyDescent="0.25">
      <c r="A26" s="469"/>
      <c r="B26" s="3">
        <f t="shared" si="20"/>
        <v>19</v>
      </c>
      <c r="C26" s="2" t="s">
        <v>611</v>
      </c>
      <c r="D26" s="2">
        <v>2541</v>
      </c>
      <c r="E26" s="3">
        <v>0</v>
      </c>
      <c r="F26" s="241">
        <f t="shared" si="10"/>
        <v>0</v>
      </c>
      <c r="G26" s="3">
        <v>800</v>
      </c>
      <c r="H26" s="236">
        <f t="shared" si="11"/>
        <v>31.483667847304208</v>
      </c>
      <c r="I26" s="3">
        <v>351</v>
      </c>
      <c r="J26" s="236">
        <f t="shared" si="12"/>
        <v>13.813459268004721</v>
      </c>
      <c r="K26" s="3">
        <v>0</v>
      </c>
      <c r="L26" s="237">
        <f t="shared" si="13"/>
        <v>0</v>
      </c>
      <c r="M26" s="3">
        <v>0</v>
      </c>
      <c r="N26" s="237">
        <f t="shared" si="14"/>
        <v>0</v>
      </c>
      <c r="O26" s="3">
        <v>0</v>
      </c>
      <c r="P26" s="237">
        <f t="shared" si="15"/>
        <v>0</v>
      </c>
      <c r="Q26" s="2">
        <f t="shared" si="16"/>
        <v>1151</v>
      </c>
      <c r="R26" s="455">
        <f t="shared" si="17"/>
        <v>45.297127115308932</v>
      </c>
      <c r="S26" s="2">
        <f t="shared" si="18"/>
        <v>1390</v>
      </c>
      <c r="T26" s="238">
        <f t="shared" si="19"/>
        <v>54.702872884691068</v>
      </c>
      <c r="U26" s="2"/>
      <c r="V26" s="217" t="s">
        <v>507</v>
      </c>
    </row>
    <row r="27" spans="1:22" ht="12.4" customHeight="1" x14ac:dyDescent="0.25">
      <c r="A27" s="469"/>
      <c r="B27" s="445"/>
      <c r="C27" s="446"/>
      <c r="D27" s="446"/>
      <c r="E27" s="445"/>
      <c r="F27" s="453"/>
      <c r="G27" s="445"/>
      <c r="H27" s="448"/>
      <c r="I27" s="445"/>
      <c r="J27" s="448"/>
      <c r="K27" s="445"/>
      <c r="L27" s="449"/>
      <c r="M27" s="445"/>
      <c r="N27" s="449"/>
      <c r="O27" s="445"/>
      <c r="P27" s="449"/>
      <c r="Q27" s="446"/>
      <c r="R27" s="450">
        <f>(R17+R18+R19+R20+R21+R22+R23+R24+R25+R26)/10</f>
        <v>53.385116946535859</v>
      </c>
      <c r="S27" s="446"/>
      <c r="T27" s="451"/>
      <c r="U27" s="446"/>
      <c r="V27" s="452"/>
    </row>
    <row r="28" spans="1:22" ht="12.2" customHeight="1" x14ac:dyDescent="0.25">
      <c r="A28" s="469" t="s">
        <v>600</v>
      </c>
      <c r="B28" s="471" t="s">
        <v>23</v>
      </c>
      <c r="C28" s="471"/>
      <c r="D28" s="225">
        <f>SUM(D17:D26)</f>
        <v>52499</v>
      </c>
      <c r="E28" s="225">
        <f>SUM(E17:E26)</f>
        <v>10737</v>
      </c>
      <c r="F28" s="98"/>
      <c r="G28" s="225">
        <f>SUM(G17:G26)</f>
        <v>4140</v>
      </c>
      <c r="H28" s="225"/>
      <c r="I28" s="225">
        <f>SUM(I17:I26)</f>
        <v>13788</v>
      </c>
      <c r="J28" s="239"/>
      <c r="K28" s="225">
        <f>SUM(K17:K26)</f>
        <v>0</v>
      </c>
      <c r="L28" s="225"/>
      <c r="M28" s="225">
        <f>SUM(M17:M26)</f>
        <v>0</v>
      </c>
      <c r="N28" s="98"/>
      <c r="O28" s="225">
        <f>SUM(O17:O26)</f>
        <v>0</v>
      </c>
      <c r="P28" s="98"/>
      <c r="Q28" s="225">
        <f>SUM(Q17:Q26)</f>
        <v>28665</v>
      </c>
      <c r="R28" s="225"/>
      <c r="S28" s="225">
        <f>SUM(S17:S26)</f>
        <v>23834</v>
      </c>
      <c r="T28" s="240"/>
      <c r="U28" s="225"/>
      <c r="V28" s="225"/>
    </row>
    <row r="29" spans="1:22" ht="12.2" customHeight="1" x14ac:dyDescent="0.25">
      <c r="A29" s="469" t="s">
        <v>612</v>
      </c>
      <c r="B29" s="470" t="s">
        <v>613</v>
      </c>
      <c r="C29" s="470"/>
      <c r="D29" s="1"/>
      <c r="E29" s="1"/>
      <c r="F29" s="1"/>
      <c r="G29" s="1"/>
      <c r="H29" s="1"/>
      <c r="I29" s="1"/>
      <c r="J29" s="233"/>
      <c r="K29" s="1"/>
      <c r="L29" s="1"/>
      <c r="M29" s="1"/>
      <c r="N29" s="1"/>
      <c r="O29" s="1"/>
      <c r="P29" s="1"/>
      <c r="Q29" s="1"/>
      <c r="R29" s="1"/>
      <c r="S29" s="1"/>
      <c r="T29" s="234"/>
      <c r="U29" s="1"/>
      <c r="V29" s="1"/>
    </row>
    <row r="30" spans="1:22" ht="12.75" customHeight="1" x14ac:dyDescent="0.25">
      <c r="A30" s="469" t="s">
        <v>612</v>
      </c>
      <c r="B30" s="3">
        <f>B26+1</f>
        <v>20</v>
      </c>
      <c r="C30" s="2" t="s">
        <v>614</v>
      </c>
      <c r="D30" s="2">
        <v>6763</v>
      </c>
      <c r="E30" s="3">
        <v>500</v>
      </c>
      <c r="F30" s="236">
        <f t="shared" ref="F30:F43" si="21">E30/D30*100</f>
        <v>7.3931687121100094</v>
      </c>
      <c r="G30" s="3">
        <v>352</v>
      </c>
      <c r="H30" s="236">
        <f t="shared" ref="H30:H43" si="22">G30/D30*100</f>
        <v>5.2047907733254473</v>
      </c>
      <c r="I30" s="3">
        <v>1659</v>
      </c>
      <c r="J30" s="236">
        <f t="shared" ref="J30:J43" si="23">I30/D30*100</f>
        <v>24.530533786781014</v>
      </c>
      <c r="K30" s="3">
        <v>16</v>
      </c>
      <c r="L30" s="237">
        <f t="shared" ref="L30:L43" si="24">K30/D30*100</f>
        <v>0.23658139878752033</v>
      </c>
      <c r="M30" s="3">
        <v>0</v>
      </c>
      <c r="N30" s="237">
        <f t="shared" ref="N30:N43" si="25">M30/D30*100</f>
        <v>0</v>
      </c>
      <c r="O30" s="3">
        <v>510</v>
      </c>
      <c r="P30" s="237">
        <f t="shared" ref="P30:P43" si="26">O30/D30*100</f>
        <v>7.5410320863522102</v>
      </c>
      <c r="Q30" s="2">
        <f t="shared" ref="Q30:Q43" si="27">E30+G30+I30+K30+M30+O30</f>
        <v>3037</v>
      </c>
      <c r="R30" s="455">
        <f t="shared" ref="R30:R43" si="28">Q30/D30*100</f>
        <v>44.906106757356199</v>
      </c>
      <c r="S30" s="2">
        <f t="shared" ref="S30:S43" si="29">D30-Q30</f>
        <v>3726</v>
      </c>
      <c r="T30" s="238">
        <f t="shared" ref="T30:T43" si="30">S30/D30*100</f>
        <v>55.093893242643801</v>
      </c>
      <c r="U30" s="217" t="s">
        <v>507</v>
      </c>
      <c r="V30" s="2"/>
    </row>
    <row r="31" spans="1:22" ht="12.6" customHeight="1" x14ac:dyDescent="0.25">
      <c r="A31" s="469" t="s">
        <v>612</v>
      </c>
      <c r="B31" s="3">
        <f>B30+1</f>
        <v>21</v>
      </c>
      <c r="C31" s="2" t="s">
        <v>615</v>
      </c>
      <c r="D31" s="2">
        <v>7790</v>
      </c>
      <c r="E31" s="3">
        <v>6818</v>
      </c>
      <c r="F31" s="236">
        <f t="shared" si="21"/>
        <v>87.522464698331191</v>
      </c>
      <c r="G31" s="3">
        <v>0</v>
      </c>
      <c r="H31" s="236">
        <f t="shared" si="22"/>
        <v>0</v>
      </c>
      <c r="I31" s="3">
        <v>0</v>
      </c>
      <c r="J31" s="236">
        <f t="shared" si="23"/>
        <v>0</v>
      </c>
      <c r="K31" s="3">
        <v>0</v>
      </c>
      <c r="L31" s="237">
        <f t="shared" si="24"/>
        <v>0</v>
      </c>
      <c r="M31" s="3">
        <v>0</v>
      </c>
      <c r="N31" s="237">
        <f t="shared" si="25"/>
        <v>0</v>
      </c>
      <c r="O31" s="3">
        <v>0</v>
      </c>
      <c r="P31" s="237">
        <f t="shared" si="26"/>
        <v>0</v>
      </c>
      <c r="Q31" s="2">
        <f t="shared" si="27"/>
        <v>6818</v>
      </c>
      <c r="R31" s="455">
        <f t="shared" si="28"/>
        <v>87.522464698331191</v>
      </c>
      <c r="S31" s="2">
        <f t="shared" si="29"/>
        <v>972</v>
      </c>
      <c r="T31" s="238">
        <f t="shared" si="30"/>
        <v>12.477535301668805</v>
      </c>
      <c r="U31" s="2"/>
      <c r="V31" s="217" t="s">
        <v>507</v>
      </c>
    </row>
    <row r="32" spans="1:22" ht="12.4" customHeight="1" x14ac:dyDescent="0.25">
      <c r="A32" s="469" t="s">
        <v>612</v>
      </c>
      <c r="B32" s="3">
        <f t="shared" ref="B32:B43" si="31">B31+1</f>
        <v>22</v>
      </c>
      <c r="C32" s="2" t="s">
        <v>616</v>
      </c>
      <c r="D32" s="2">
        <v>5541</v>
      </c>
      <c r="E32" s="3">
        <v>1212</v>
      </c>
      <c r="F32" s="236">
        <f t="shared" si="21"/>
        <v>21.873308067135895</v>
      </c>
      <c r="G32" s="3">
        <v>0</v>
      </c>
      <c r="H32" s="236">
        <f t="shared" si="22"/>
        <v>0</v>
      </c>
      <c r="I32" s="3">
        <v>1746</v>
      </c>
      <c r="J32" s="236">
        <f t="shared" si="23"/>
        <v>31.51055766107201</v>
      </c>
      <c r="K32" s="3">
        <v>0</v>
      </c>
      <c r="L32" s="237">
        <f t="shared" si="24"/>
        <v>0</v>
      </c>
      <c r="M32" s="3">
        <v>0</v>
      </c>
      <c r="N32" s="237">
        <f t="shared" si="25"/>
        <v>0</v>
      </c>
      <c r="O32" s="3">
        <v>0</v>
      </c>
      <c r="P32" s="237">
        <f t="shared" si="26"/>
        <v>0</v>
      </c>
      <c r="Q32" s="2">
        <f t="shared" si="27"/>
        <v>2958</v>
      </c>
      <c r="R32" s="455">
        <f t="shared" si="28"/>
        <v>53.383865728207901</v>
      </c>
      <c r="S32" s="2">
        <f t="shared" si="29"/>
        <v>2583</v>
      </c>
      <c r="T32" s="238">
        <f t="shared" si="30"/>
        <v>46.616134271792099</v>
      </c>
      <c r="U32" s="2"/>
      <c r="V32" s="217" t="s">
        <v>507</v>
      </c>
    </row>
    <row r="33" spans="1:22" ht="12.6" customHeight="1" x14ac:dyDescent="0.25">
      <c r="A33" s="469" t="s">
        <v>612</v>
      </c>
      <c r="B33" s="3">
        <f t="shared" si="31"/>
        <v>23</v>
      </c>
      <c r="C33" s="2" t="s">
        <v>617</v>
      </c>
      <c r="D33" s="2">
        <v>9073</v>
      </c>
      <c r="E33" s="3">
        <v>0</v>
      </c>
      <c r="F33" s="236">
        <f t="shared" si="21"/>
        <v>0</v>
      </c>
      <c r="G33" s="3">
        <v>333</v>
      </c>
      <c r="H33" s="236">
        <f t="shared" si="22"/>
        <v>3.6702303537969798</v>
      </c>
      <c r="I33" s="3">
        <v>3804</v>
      </c>
      <c r="J33" s="236">
        <f t="shared" si="23"/>
        <v>41.926595392924057</v>
      </c>
      <c r="K33" s="3">
        <v>4</v>
      </c>
      <c r="L33" s="237">
        <f t="shared" si="24"/>
        <v>4.4086851096660426E-2</v>
      </c>
      <c r="M33" s="3">
        <v>0</v>
      </c>
      <c r="N33" s="237">
        <f t="shared" si="25"/>
        <v>0</v>
      </c>
      <c r="O33" s="3">
        <v>0</v>
      </c>
      <c r="P33" s="237">
        <f t="shared" si="26"/>
        <v>0</v>
      </c>
      <c r="Q33" s="2">
        <f t="shared" si="27"/>
        <v>4141</v>
      </c>
      <c r="R33" s="455">
        <f t="shared" si="28"/>
        <v>45.640912597817703</v>
      </c>
      <c r="S33" s="2">
        <f t="shared" si="29"/>
        <v>4932</v>
      </c>
      <c r="T33" s="238">
        <f t="shared" si="30"/>
        <v>54.359087402182304</v>
      </c>
      <c r="U33" s="2"/>
      <c r="V33" s="217" t="s">
        <v>507</v>
      </c>
    </row>
    <row r="34" spans="1:22" ht="12.6" customHeight="1" x14ac:dyDescent="0.25">
      <c r="A34" s="469" t="s">
        <v>612</v>
      </c>
      <c r="B34" s="3">
        <f t="shared" si="31"/>
        <v>24</v>
      </c>
      <c r="C34" s="2" t="s">
        <v>618</v>
      </c>
      <c r="D34" s="2">
        <v>7758</v>
      </c>
      <c r="E34" s="3">
        <v>244</v>
      </c>
      <c r="F34" s="236">
        <f t="shared" si="21"/>
        <v>3.1451405001288992</v>
      </c>
      <c r="G34" s="3">
        <v>120</v>
      </c>
      <c r="H34" s="236">
        <f t="shared" si="22"/>
        <v>1.5467904098994587</v>
      </c>
      <c r="I34" s="3">
        <v>2100</v>
      </c>
      <c r="J34" s="236">
        <f t="shared" si="23"/>
        <v>27.068832173240526</v>
      </c>
      <c r="K34" s="3">
        <v>0</v>
      </c>
      <c r="L34" s="237">
        <f t="shared" si="24"/>
        <v>0</v>
      </c>
      <c r="M34" s="3">
        <v>0</v>
      </c>
      <c r="N34" s="237">
        <f t="shared" si="25"/>
        <v>0</v>
      </c>
      <c r="O34" s="3">
        <v>0</v>
      </c>
      <c r="P34" s="237">
        <f t="shared" si="26"/>
        <v>0</v>
      </c>
      <c r="Q34" s="2">
        <f t="shared" si="27"/>
        <v>2464</v>
      </c>
      <c r="R34" s="455">
        <f t="shared" si="28"/>
        <v>31.760763083268884</v>
      </c>
      <c r="S34" s="2">
        <f t="shared" si="29"/>
        <v>5294</v>
      </c>
      <c r="T34" s="238">
        <f t="shared" si="30"/>
        <v>68.239236916731116</v>
      </c>
      <c r="U34" s="3"/>
      <c r="V34" s="217" t="s">
        <v>507</v>
      </c>
    </row>
    <row r="35" spans="1:22" ht="12.4" customHeight="1" x14ac:dyDescent="0.25">
      <c r="A35" s="469" t="s">
        <v>612</v>
      </c>
      <c r="B35" s="3">
        <f t="shared" si="31"/>
        <v>25</v>
      </c>
      <c r="C35" s="2" t="s">
        <v>619</v>
      </c>
      <c r="D35" s="2">
        <v>6644</v>
      </c>
      <c r="E35" s="3">
        <v>840</v>
      </c>
      <c r="F35" s="236">
        <f t="shared" si="21"/>
        <v>12.642986152919928</v>
      </c>
      <c r="G35" s="3">
        <v>508</v>
      </c>
      <c r="H35" s="236">
        <f t="shared" si="22"/>
        <v>7.6459963877182417</v>
      </c>
      <c r="I35" s="3">
        <v>2022</v>
      </c>
      <c r="J35" s="236">
        <f t="shared" si="23"/>
        <v>30.433473810957256</v>
      </c>
      <c r="K35" s="3">
        <v>8</v>
      </c>
      <c r="L35" s="237">
        <f t="shared" si="24"/>
        <v>0.12040939193257075</v>
      </c>
      <c r="M35" s="3">
        <v>0</v>
      </c>
      <c r="N35" s="237">
        <f t="shared" si="25"/>
        <v>0</v>
      </c>
      <c r="O35" s="3">
        <v>0</v>
      </c>
      <c r="P35" s="237">
        <f t="shared" si="26"/>
        <v>0</v>
      </c>
      <c r="Q35" s="2">
        <f t="shared" si="27"/>
        <v>3378</v>
      </c>
      <c r="R35" s="455">
        <f t="shared" si="28"/>
        <v>50.842865743528002</v>
      </c>
      <c r="S35" s="2">
        <f t="shared" si="29"/>
        <v>3266</v>
      </c>
      <c r="T35" s="238">
        <f t="shared" si="30"/>
        <v>49.157134256472006</v>
      </c>
      <c r="U35" s="2"/>
      <c r="V35" s="217" t="s">
        <v>507</v>
      </c>
    </row>
    <row r="36" spans="1:22" ht="12.4" customHeight="1" x14ac:dyDescent="0.25">
      <c r="A36" s="469" t="s">
        <v>612</v>
      </c>
      <c r="B36" s="3">
        <f t="shared" si="31"/>
        <v>26</v>
      </c>
      <c r="C36" s="2" t="s">
        <v>620</v>
      </c>
      <c r="D36" s="2">
        <v>3915</v>
      </c>
      <c r="E36" s="242">
        <v>3426</v>
      </c>
      <c r="F36" s="236">
        <f t="shared" si="21"/>
        <v>87.509578544061313</v>
      </c>
      <c r="G36" s="3">
        <v>0</v>
      </c>
      <c r="H36" s="236">
        <f t="shared" si="22"/>
        <v>0</v>
      </c>
      <c r="I36" s="3">
        <v>0</v>
      </c>
      <c r="J36" s="236">
        <f t="shared" si="23"/>
        <v>0</v>
      </c>
      <c r="K36" s="3">
        <v>0</v>
      </c>
      <c r="L36" s="237">
        <f t="shared" si="24"/>
        <v>0</v>
      </c>
      <c r="M36" s="3">
        <v>0</v>
      </c>
      <c r="N36" s="237">
        <f t="shared" si="25"/>
        <v>0</v>
      </c>
      <c r="O36" s="3">
        <v>0</v>
      </c>
      <c r="P36" s="237">
        <f t="shared" si="26"/>
        <v>0</v>
      </c>
      <c r="Q36" s="2">
        <f t="shared" si="27"/>
        <v>3426</v>
      </c>
      <c r="R36" s="455">
        <f t="shared" si="28"/>
        <v>87.509578544061313</v>
      </c>
      <c r="S36" s="2">
        <f t="shared" si="29"/>
        <v>489</v>
      </c>
      <c r="T36" s="238">
        <f t="shared" si="30"/>
        <v>12.490421455938696</v>
      </c>
      <c r="U36" s="3"/>
      <c r="V36" s="217" t="s">
        <v>507</v>
      </c>
    </row>
    <row r="37" spans="1:22" ht="12.6" customHeight="1" x14ac:dyDescent="0.25">
      <c r="A37" s="469" t="s">
        <v>612</v>
      </c>
      <c r="B37" s="3">
        <f t="shared" si="31"/>
        <v>27</v>
      </c>
      <c r="C37" s="2" t="s">
        <v>621</v>
      </c>
      <c r="D37" s="2">
        <v>5407</v>
      </c>
      <c r="E37" s="3">
        <v>0</v>
      </c>
      <c r="F37" s="236">
        <f t="shared" si="21"/>
        <v>0</v>
      </c>
      <c r="G37" s="3">
        <v>0</v>
      </c>
      <c r="H37" s="236">
        <f t="shared" si="22"/>
        <v>0</v>
      </c>
      <c r="I37" s="3">
        <v>2277</v>
      </c>
      <c r="J37" s="236">
        <f t="shared" si="23"/>
        <v>42.112076937303492</v>
      </c>
      <c r="K37" s="3">
        <v>0</v>
      </c>
      <c r="L37" s="237">
        <f t="shared" si="24"/>
        <v>0</v>
      </c>
      <c r="M37" s="3">
        <v>0</v>
      </c>
      <c r="N37" s="237">
        <f t="shared" si="25"/>
        <v>0</v>
      </c>
      <c r="O37" s="3">
        <v>0</v>
      </c>
      <c r="P37" s="237">
        <f t="shared" si="26"/>
        <v>0</v>
      </c>
      <c r="Q37" s="2">
        <f t="shared" si="27"/>
        <v>2277</v>
      </c>
      <c r="R37" s="455">
        <f t="shared" si="28"/>
        <v>42.112076937303492</v>
      </c>
      <c r="S37" s="2">
        <f t="shared" si="29"/>
        <v>3130</v>
      </c>
      <c r="T37" s="238">
        <f t="shared" si="30"/>
        <v>57.887923062696501</v>
      </c>
      <c r="U37" s="3"/>
      <c r="V37" s="217" t="s">
        <v>507</v>
      </c>
    </row>
    <row r="38" spans="1:22" ht="12.4" customHeight="1" x14ac:dyDescent="0.25">
      <c r="A38" s="469" t="s">
        <v>612</v>
      </c>
      <c r="B38" s="3">
        <f t="shared" si="31"/>
        <v>28</v>
      </c>
      <c r="C38" s="2" t="s">
        <v>622</v>
      </c>
      <c r="D38" s="2">
        <v>7080</v>
      </c>
      <c r="E38" s="3">
        <v>796</v>
      </c>
      <c r="F38" s="236">
        <f t="shared" si="21"/>
        <v>11.242937853107344</v>
      </c>
      <c r="G38" s="3">
        <v>320</v>
      </c>
      <c r="H38" s="236">
        <f t="shared" si="22"/>
        <v>4.5197740112994351</v>
      </c>
      <c r="I38" s="3">
        <v>1875</v>
      </c>
      <c r="J38" s="236">
        <f t="shared" si="23"/>
        <v>26.48305084745763</v>
      </c>
      <c r="K38" s="3">
        <v>12</v>
      </c>
      <c r="L38" s="237">
        <f t="shared" si="24"/>
        <v>0.16949152542372881</v>
      </c>
      <c r="M38" s="3">
        <v>0</v>
      </c>
      <c r="N38" s="237">
        <f t="shared" si="25"/>
        <v>0</v>
      </c>
      <c r="O38" s="3">
        <v>0</v>
      </c>
      <c r="P38" s="237">
        <f t="shared" si="26"/>
        <v>0</v>
      </c>
      <c r="Q38" s="2">
        <f t="shared" si="27"/>
        <v>3003</v>
      </c>
      <c r="R38" s="455">
        <f t="shared" si="28"/>
        <v>42.415254237288138</v>
      </c>
      <c r="S38" s="2">
        <f t="shared" si="29"/>
        <v>4077</v>
      </c>
      <c r="T38" s="238">
        <f t="shared" si="30"/>
        <v>57.584745762711862</v>
      </c>
      <c r="U38" s="3"/>
      <c r="V38" s="217" t="s">
        <v>507</v>
      </c>
    </row>
    <row r="39" spans="1:22" ht="12.75" customHeight="1" x14ac:dyDescent="0.25">
      <c r="A39" s="469" t="s">
        <v>612</v>
      </c>
      <c r="B39" s="3">
        <f t="shared" si="31"/>
        <v>29</v>
      </c>
      <c r="C39" s="2" t="s">
        <v>623</v>
      </c>
      <c r="D39" s="2">
        <v>7767</v>
      </c>
      <c r="E39" s="3">
        <v>4388</v>
      </c>
      <c r="F39" s="236">
        <f t="shared" si="21"/>
        <v>56.495429380713269</v>
      </c>
      <c r="G39" s="3">
        <v>0</v>
      </c>
      <c r="H39" s="236">
        <f t="shared" si="22"/>
        <v>0</v>
      </c>
      <c r="I39" s="3">
        <v>1053</v>
      </c>
      <c r="J39" s="236">
        <f t="shared" si="23"/>
        <v>13.557358053302435</v>
      </c>
      <c r="K39" s="3">
        <v>52</v>
      </c>
      <c r="L39" s="237">
        <f t="shared" si="24"/>
        <v>0.66949916312604607</v>
      </c>
      <c r="M39" s="3">
        <v>0</v>
      </c>
      <c r="N39" s="237">
        <f t="shared" si="25"/>
        <v>0</v>
      </c>
      <c r="O39" s="3">
        <v>0</v>
      </c>
      <c r="P39" s="237">
        <f t="shared" si="26"/>
        <v>0</v>
      </c>
      <c r="Q39" s="2">
        <f t="shared" si="27"/>
        <v>5493</v>
      </c>
      <c r="R39" s="455">
        <f t="shared" si="28"/>
        <v>70.722286597141746</v>
      </c>
      <c r="S39" s="2">
        <f t="shared" si="29"/>
        <v>2274</v>
      </c>
      <c r="T39" s="238">
        <f t="shared" si="30"/>
        <v>29.277713402858247</v>
      </c>
      <c r="U39" s="3"/>
      <c r="V39" s="217" t="s">
        <v>507</v>
      </c>
    </row>
    <row r="40" spans="1:22" ht="12.75" customHeight="1" x14ac:dyDescent="0.25">
      <c r="A40" s="469"/>
      <c r="B40" s="3">
        <f t="shared" si="31"/>
        <v>30</v>
      </c>
      <c r="C40" s="2" t="s">
        <v>624</v>
      </c>
      <c r="D40" s="2">
        <v>6624</v>
      </c>
      <c r="E40" s="3">
        <v>2564</v>
      </c>
      <c r="F40" s="236">
        <f t="shared" si="21"/>
        <v>38.707729468599034</v>
      </c>
      <c r="G40" s="3">
        <v>0</v>
      </c>
      <c r="H40" s="236">
        <f t="shared" si="22"/>
        <v>0</v>
      </c>
      <c r="I40" s="3">
        <v>1527</v>
      </c>
      <c r="J40" s="236">
        <f t="shared" si="23"/>
        <v>23.052536231884059</v>
      </c>
      <c r="K40" s="3">
        <v>28</v>
      </c>
      <c r="L40" s="237">
        <f t="shared" si="24"/>
        <v>0.42270531400966183</v>
      </c>
      <c r="M40" s="3">
        <v>0</v>
      </c>
      <c r="N40" s="237">
        <f t="shared" si="25"/>
        <v>0</v>
      </c>
      <c r="O40" s="3">
        <v>0</v>
      </c>
      <c r="P40" s="237">
        <f t="shared" si="26"/>
        <v>0</v>
      </c>
      <c r="Q40" s="2">
        <f t="shared" si="27"/>
        <v>4119</v>
      </c>
      <c r="R40" s="455">
        <f t="shared" si="28"/>
        <v>62.18297101449275</v>
      </c>
      <c r="S40" s="2">
        <f t="shared" si="29"/>
        <v>2505</v>
      </c>
      <c r="T40" s="238">
        <f t="shared" si="30"/>
        <v>37.817028985507243</v>
      </c>
      <c r="U40" s="3"/>
      <c r="V40" s="217" t="s">
        <v>507</v>
      </c>
    </row>
    <row r="41" spans="1:22" ht="12.75" customHeight="1" x14ac:dyDescent="0.25">
      <c r="A41" s="469"/>
      <c r="B41" s="3">
        <f t="shared" si="31"/>
        <v>31</v>
      </c>
      <c r="C41" s="2" t="s">
        <v>625</v>
      </c>
      <c r="D41" s="2">
        <v>4051</v>
      </c>
      <c r="E41" s="3">
        <v>3116</v>
      </c>
      <c r="F41" s="236">
        <f t="shared" si="21"/>
        <v>76.91927919032338</v>
      </c>
      <c r="G41" s="3">
        <v>0</v>
      </c>
      <c r="H41" s="236">
        <f t="shared" si="22"/>
        <v>0</v>
      </c>
      <c r="I41" s="3">
        <v>702</v>
      </c>
      <c r="J41" s="236">
        <f t="shared" si="23"/>
        <v>17.329054554431007</v>
      </c>
      <c r="K41" s="3">
        <v>0</v>
      </c>
      <c r="L41" s="237">
        <f t="shared" si="24"/>
        <v>0</v>
      </c>
      <c r="M41" s="3">
        <v>0</v>
      </c>
      <c r="N41" s="237">
        <f t="shared" si="25"/>
        <v>0</v>
      </c>
      <c r="O41" s="3">
        <v>0</v>
      </c>
      <c r="P41" s="237">
        <f t="shared" si="26"/>
        <v>0</v>
      </c>
      <c r="Q41" s="2">
        <f t="shared" si="27"/>
        <v>3818</v>
      </c>
      <c r="R41" s="455">
        <f t="shared" si="28"/>
        <v>94.24833374475439</v>
      </c>
      <c r="S41" s="2">
        <f t="shared" si="29"/>
        <v>233</v>
      </c>
      <c r="T41" s="238">
        <f t="shared" si="30"/>
        <v>5.7516662552456177</v>
      </c>
      <c r="U41" s="3"/>
      <c r="V41" s="217" t="s">
        <v>507</v>
      </c>
    </row>
    <row r="42" spans="1:22" ht="12.75" customHeight="1" x14ac:dyDescent="0.25">
      <c r="A42" s="469"/>
      <c r="B42" s="3">
        <f t="shared" si="31"/>
        <v>32</v>
      </c>
      <c r="C42" s="2" t="s">
        <v>626</v>
      </c>
      <c r="D42" s="2">
        <v>5601</v>
      </c>
      <c r="E42" s="3">
        <v>340</v>
      </c>
      <c r="F42" s="236">
        <f t="shared" si="21"/>
        <v>6.0703445813247638</v>
      </c>
      <c r="G42" s="3">
        <v>192</v>
      </c>
      <c r="H42" s="236">
        <f t="shared" si="22"/>
        <v>3.4279592929833957</v>
      </c>
      <c r="I42" s="3">
        <v>1794</v>
      </c>
      <c r="J42" s="236">
        <f t="shared" si="23"/>
        <v>32.029994643813602</v>
      </c>
      <c r="K42" s="3">
        <v>28</v>
      </c>
      <c r="L42" s="237">
        <f t="shared" si="24"/>
        <v>0.49991073022674526</v>
      </c>
      <c r="M42" s="3">
        <v>0</v>
      </c>
      <c r="N42" s="237">
        <f t="shared" si="25"/>
        <v>0</v>
      </c>
      <c r="O42" s="3">
        <v>0</v>
      </c>
      <c r="P42" s="237">
        <f t="shared" si="26"/>
        <v>0</v>
      </c>
      <c r="Q42" s="2">
        <f t="shared" si="27"/>
        <v>2354</v>
      </c>
      <c r="R42" s="455">
        <f t="shared" si="28"/>
        <v>42.02820924834851</v>
      </c>
      <c r="S42" s="2">
        <f t="shared" si="29"/>
        <v>3247</v>
      </c>
      <c r="T42" s="238">
        <f t="shared" si="30"/>
        <v>57.971790751651483</v>
      </c>
      <c r="U42" s="3"/>
      <c r="V42" s="217" t="s">
        <v>507</v>
      </c>
    </row>
    <row r="43" spans="1:22" ht="12.75" customHeight="1" x14ac:dyDescent="0.25">
      <c r="A43" s="469"/>
      <c r="B43" s="3">
        <f t="shared" si="31"/>
        <v>33</v>
      </c>
      <c r="C43" s="2" t="s">
        <v>627</v>
      </c>
      <c r="D43" s="2">
        <v>4008</v>
      </c>
      <c r="E43" s="3">
        <v>0</v>
      </c>
      <c r="F43" s="236">
        <f t="shared" si="21"/>
        <v>0</v>
      </c>
      <c r="G43" s="3">
        <v>568</v>
      </c>
      <c r="H43" s="236">
        <f t="shared" si="22"/>
        <v>14.171656686626747</v>
      </c>
      <c r="I43" s="3">
        <v>2520</v>
      </c>
      <c r="J43" s="236">
        <f t="shared" si="23"/>
        <v>62.874251497005986</v>
      </c>
      <c r="K43" s="3">
        <v>4</v>
      </c>
      <c r="L43" s="237">
        <f t="shared" si="24"/>
        <v>9.9800399201596793E-2</v>
      </c>
      <c r="M43" s="3">
        <v>0</v>
      </c>
      <c r="N43" s="237">
        <f t="shared" si="25"/>
        <v>0</v>
      </c>
      <c r="O43" s="3">
        <v>0</v>
      </c>
      <c r="P43" s="237">
        <f t="shared" si="26"/>
        <v>0</v>
      </c>
      <c r="Q43" s="2">
        <f t="shared" si="27"/>
        <v>3092</v>
      </c>
      <c r="R43" s="455">
        <f t="shared" si="28"/>
        <v>77.145708582834331</v>
      </c>
      <c r="S43" s="2">
        <f t="shared" si="29"/>
        <v>916</v>
      </c>
      <c r="T43" s="238">
        <f t="shared" si="30"/>
        <v>22.854291417165669</v>
      </c>
      <c r="U43" s="3"/>
      <c r="V43" s="217" t="s">
        <v>507</v>
      </c>
    </row>
    <row r="44" spans="1:22" ht="12.75" customHeight="1" x14ac:dyDescent="0.25">
      <c r="A44" s="469"/>
      <c r="B44" s="445"/>
      <c r="C44" s="446"/>
      <c r="D44" s="446"/>
      <c r="E44" s="445"/>
      <c r="F44" s="448"/>
      <c r="G44" s="445"/>
      <c r="H44" s="448"/>
      <c r="I44" s="445"/>
      <c r="J44" s="448"/>
      <c r="K44" s="445"/>
      <c r="L44" s="449"/>
      <c r="M44" s="445"/>
      <c r="N44" s="449"/>
      <c r="O44" s="445"/>
      <c r="P44" s="449"/>
      <c r="Q44" s="446"/>
      <c r="R44" s="450">
        <f>(R30+R31+R32+R33+R34+R35+R36+R37+R38+R39+R40+R41+R42+R43)/14</f>
        <v>59.458671251052465</v>
      </c>
      <c r="S44" s="446"/>
      <c r="T44" s="451"/>
      <c r="U44" s="445"/>
      <c r="V44" s="452"/>
    </row>
    <row r="45" spans="1:22" ht="12" customHeight="1" x14ac:dyDescent="0.25">
      <c r="A45" s="469" t="s">
        <v>612</v>
      </c>
      <c r="B45" s="471" t="s">
        <v>23</v>
      </c>
      <c r="C45" s="471"/>
      <c r="D45" s="225">
        <f>SUM(D30:D43)</f>
        <v>88022</v>
      </c>
      <c r="E45" s="243">
        <f>SUM(E30:E43)</f>
        <v>24244</v>
      </c>
      <c r="F45" s="225"/>
      <c r="G45" s="243">
        <f>SUM(G30:G43)</f>
        <v>2393</v>
      </c>
      <c r="H45" s="225"/>
      <c r="I45" s="243">
        <f>SUM(I30:I43)</f>
        <v>23079</v>
      </c>
      <c r="J45" s="239"/>
      <c r="K45" s="225">
        <f>SUM(K30:K43)</f>
        <v>152</v>
      </c>
      <c r="L45" s="225"/>
      <c r="M45" s="98">
        <f>SUM(M30:M43)</f>
        <v>0</v>
      </c>
      <c r="N45" s="98"/>
      <c r="O45" s="98">
        <f>SUM(O30:O43)</f>
        <v>510</v>
      </c>
      <c r="P45" s="98"/>
      <c r="Q45" s="98">
        <f>SUM(Q30:Q43)</f>
        <v>50378</v>
      </c>
      <c r="R45" s="225"/>
      <c r="S45" s="98">
        <f>SUM(S30:S43)</f>
        <v>37644</v>
      </c>
      <c r="T45" s="240"/>
      <c r="U45" s="225"/>
      <c r="V45" s="225"/>
    </row>
    <row r="46" spans="1:22" ht="12.2" customHeight="1" x14ac:dyDescent="0.25">
      <c r="A46" s="469">
        <v>4</v>
      </c>
      <c r="B46" s="470" t="s">
        <v>628</v>
      </c>
      <c r="C46" s="470"/>
      <c r="D46" s="1"/>
      <c r="E46" s="1"/>
      <c r="F46" s="1"/>
      <c r="G46" s="1"/>
      <c r="H46" s="1"/>
      <c r="I46" s="1"/>
      <c r="J46" s="233"/>
      <c r="K46" s="1"/>
      <c r="L46" s="1"/>
      <c r="M46" s="1"/>
      <c r="N46" s="1"/>
      <c r="O46" s="1"/>
      <c r="P46" s="1"/>
      <c r="Q46" s="1"/>
      <c r="R46" s="1"/>
      <c r="S46" s="1"/>
      <c r="T46" s="234"/>
      <c r="U46" s="1"/>
      <c r="V46" s="1"/>
    </row>
    <row r="47" spans="1:22" ht="12.75" customHeight="1" x14ac:dyDescent="0.25">
      <c r="A47" s="469" t="s">
        <v>612</v>
      </c>
      <c r="B47" s="3">
        <f>B43+1</f>
        <v>34</v>
      </c>
      <c r="C47" s="2" t="s">
        <v>629</v>
      </c>
      <c r="D47" s="2">
        <v>6400</v>
      </c>
      <c r="E47" s="3">
        <v>1500</v>
      </c>
      <c r="F47" s="236">
        <f t="shared" ref="F47:F52" si="32">E47/D47*100</f>
        <v>23.4375</v>
      </c>
      <c r="G47" s="3">
        <v>1920</v>
      </c>
      <c r="H47" s="236">
        <f t="shared" ref="H47:H52" si="33">G47/D47*100</f>
        <v>30</v>
      </c>
      <c r="I47" s="3">
        <v>411</v>
      </c>
      <c r="J47" s="236">
        <f t="shared" ref="J47:J52" si="34">I47/D47*100</f>
        <v>6.4218750000000009</v>
      </c>
      <c r="K47" s="3">
        <v>320</v>
      </c>
      <c r="L47" s="237">
        <f t="shared" ref="L47:L52" si="35">K47/D47*100</f>
        <v>5</v>
      </c>
      <c r="M47" s="3">
        <v>0</v>
      </c>
      <c r="N47" s="237">
        <f t="shared" ref="N47:N52" si="36">M47/D47*100</f>
        <v>0</v>
      </c>
      <c r="O47" s="3">
        <v>0</v>
      </c>
      <c r="P47" s="237">
        <f t="shared" ref="P47:P52" si="37">O47/D47*100</f>
        <v>0</v>
      </c>
      <c r="Q47" s="2">
        <f t="shared" ref="Q47:Q52" si="38">E47+G47+I47+K47+M47+O47</f>
        <v>4151</v>
      </c>
      <c r="R47" s="455">
        <f t="shared" ref="R47:R52" si="39">Q47/D47*100</f>
        <v>64.859375</v>
      </c>
      <c r="S47" s="2">
        <f t="shared" ref="S47:S52" si="40">D47-Q47</f>
        <v>2249</v>
      </c>
      <c r="T47" s="238">
        <f t="shared" ref="T47:T52" si="41">S47/D47*100</f>
        <v>35.140625</v>
      </c>
      <c r="U47" s="2"/>
      <c r="V47" s="217" t="s">
        <v>507</v>
      </c>
    </row>
    <row r="48" spans="1:22" ht="12.6" customHeight="1" x14ac:dyDescent="0.25">
      <c r="A48" s="469" t="s">
        <v>612</v>
      </c>
      <c r="B48" s="3">
        <f>B47+1</f>
        <v>35</v>
      </c>
      <c r="C48" s="2" t="s">
        <v>630</v>
      </c>
      <c r="D48" s="2">
        <v>8341</v>
      </c>
      <c r="E48" s="3">
        <v>2180</v>
      </c>
      <c r="F48" s="236">
        <f t="shared" si="32"/>
        <v>26.135954921472244</v>
      </c>
      <c r="G48" s="3">
        <v>184</v>
      </c>
      <c r="H48" s="236">
        <f t="shared" si="33"/>
        <v>2.2059705071334372</v>
      </c>
      <c r="I48" s="3">
        <v>4551</v>
      </c>
      <c r="J48" s="236">
        <f t="shared" si="34"/>
        <v>54.561803141110175</v>
      </c>
      <c r="K48" s="3">
        <v>0</v>
      </c>
      <c r="L48" s="237">
        <f t="shared" si="35"/>
        <v>0</v>
      </c>
      <c r="M48" s="3">
        <v>0</v>
      </c>
      <c r="N48" s="237">
        <f t="shared" si="36"/>
        <v>0</v>
      </c>
      <c r="O48" s="3">
        <v>0</v>
      </c>
      <c r="P48" s="237">
        <f t="shared" si="37"/>
        <v>0</v>
      </c>
      <c r="Q48" s="2">
        <f t="shared" si="38"/>
        <v>6915</v>
      </c>
      <c r="R48" s="455">
        <f t="shared" si="39"/>
        <v>82.903728569715867</v>
      </c>
      <c r="S48" s="2">
        <f t="shared" si="40"/>
        <v>1426</v>
      </c>
      <c r="T48" s="238">
        <f t="shared" si="41"/>
        <v>17.096271430284137</v>
      </c>
      <c r="U48" s="2"/>
      <c r="V48" s="217" t="s">
        <v>507</v>
      </c>
    </row>
    <row r="49" spans="1:22" ht="12.4" customHeight="1" x14ac:dyDescent="0.25">
      <c r="A49" s="469" t="s">
        <v>612</v>
      </c>
      <c r="B49" s="3">
        <f>B48+1</f>
        <v>36</v>
      </c>
      <c r="C49" s="2" t="s">
        <v>631</v>
      </c>
      <c r="D49" s="2">
        <v>9288</v>
      </c>
      <c r="E49" s="3">
        <v>556</v>
      </c>
      <c r="F49" s="236">
        <f t="shared" si="32"/>
        <v>5.9862187769164512</v>
      </c>
      <c r="G49" s="3">
        <v>64</v>
      </c>
      <c r="H49" s="236">
        <f t="shared" si="33"/>
        <v>0.6890611541774333</v>
      </c>
      <c r="I49" s="3">
        <v>5022</v>
      </c>
      <c r="J49" s="236">
        <f t="shared" si="34"/>
        <v>54.069767441860463</v>
      </c>
      <c r="K49" s="3">
        <v>0</v>
      </c>
      <c r="L49" s="237">
        <f t="shared" si="35"/>
        <v>0</v>
      </c>
      <c r="M49" s="3">
        <v>0</v>
      </c>
      <c r="N49" s="237">
        <f t="shared" si="36"/>
        <v>0</v>
      </c>
      <c r="O49" s="3">
        <v>0</v>
      </c>
      <c r="P49" s="237">
        <f t="shared" si="37"/>
        <v>0</v>
      </c>
      <c r="Q49" s="2">
        <f t="shared" si="38"/>
        <v>5642</v>
      </c>
      <c r="R49" s="455">
        <f t="shared" si="39"/>
        <v>60.745047372954353</v>
      </c>
      <c r="S49" s="2">
        <f t="shared" si="40"/>
        <v>3646</v>
      </c>
      <c r="T49" s="238">
        <f t="shared" si="41"/>
        <v>39.254952627045654</v>
      </c>
      <c r="U49" s="2"/>
      <c r="V49" s="217" t="s">
        <v>507</v>
      </c>
    </row>
    <row r="50" spans="1:22" ht="12.6" customHeight="1" x14ac:dyDescent="0.25">
      <c r="A50" s="469" t="s">
        <v>612</v>
      </c>
      <c r="B50" s="3">
        <f>B49+1</f>
        <v>37</v>
      </c>
      <c r="C50" s="2" t="s">
        <v>632</v>
      </c>
      <c r="D50" s="2">
        <v>9639</v>
      </c>
      <c r="E50" s="3">
        <v>1540</v>
      </c>
      <c r="F50" s="236">
        <f t="shared" si="32"/>
        <v>15.976761074800292</v>
      </c>
      <c r="G50" s="3">
        <v>0</v>
      </c>
      <c r="H50" s="236">
        <f t="shared" si="33"/>
        <v>0</v>
      </c>
      <c r="I50" s="3">
        <v>5499</v>
      </c>
      <c r="J50" s="236">
        <f t="shared" si="34"/>
        <v>57.049486461251163</v>
      </c>
      <c r="K50" s="3">
        <v>16</v>
      </c>
      <c r="L50" s="237">
        <f t="shared" si="35"/>
        <v>0.16599232285506796</v>
      </c>
      <c r="M50" s="3">
        <v>0</v>
      </c>
      <c r="N50" s="237">
        <f t="shared" si="36"/>
        <v>0</v>
      </c>
      <c r="O50" s="3">
        <v>0</v>
      </c>
      <c r="P50" s="237">
        <f t="shared" si="37"/>
        <v>0</v>
      </c>
      <c r="Q50" s="2">
        <f t="shared" si="38"/>
        <v>7055</v>
      </c>
      <c r="R50" s="455">
        <f t="shared" si="39"/>
        <v>73.192239858906532</v>
      </c>
      <c r="S50" s="2">
        <f t="shared" si="40"/>
        <v>2584</v>
      </c>
      <c r="T50" s="238">
        <f t="shared" si="41"/>
        <v>26.807760141093475</v>
      </c>
      <c r="U50" s="2"/>
      <c r="V50" s="217" t="s">
        <v>507</v>
      </c>
    </row>
    <row r="51" spans="1:22" ht="12.6" customHeight="1" x14ac:dyDescent="0.25">
      <c r="A51" s="469" t="s">
        <v>612</v>
      </c>
      <c r="B51" s="3">
        <f>B50+1</f>
        <v>38</v>
      </c>
      <c r="C51" s="2" t="s">
        <v>633</v>
      </c>
      <c r="D51" s="2">
        <v>5122</v>
      </c>
      <c r="E51" s="3">
        <v>0</v>
      </c>
      <c r="F51" s="236">
        <f t="shared" si="32"/>
        <v>0</v>
      </c>
      <c r="G51" s="3">
        <v>480</v>
      </c>
      <c r="H51" s="236">
        <f t="shared" si="33"/>
        <v>9.3713393205778992</v>
      </c>
      <c r="I51" s="3">
        <v>1746</v>
      </c>
      <c r="J51" s="236">
        <f t="shared" si="34"/>
        <v>34.088246778602112</v>
      </c>
      <c r="K51" s="3">
        <v>240</v>
      </c>
      <c r="L51" s="237">
        <f t="shared" si="35"/>
        <v>4.6856696602889496</v>
      </c>
      <c r="M51" s="3">
        <v>0</v>
      </c>
      <c r="N51" s="237">
        <f t="shared" si="36"/>
        <v>0</v>
      </c>
      <c r="O51" s="3">
        <v>0</v>
      </c>
      <c r="P51" s="237">
        <f t="shared" si="37"/>
        <v>0</v>
      </c>
      <c r="Q51" s="2">
        <f t="shared" si="38"/>
        <v>2466</v>
      </c>
      <c r="R51" s="455">
        <f t="shared" si="39"/>
        <v>48.145255759468959</v>
      </c>
      <c r="S51" s="2">
        <f t="shared" si="40"/>
        <v>2656</v>
      </c>
      <c r="T51" s="238">
        <f t="shared" si="41"/>
        <v>51.854744240531048</v>
      </c>
      <c r="U51" s="3"/>
      <c r="V51" s="217" t="s">
        <v>507</v>
      </c>
    </row>
    <row r="52" spans="1:22" ht="12.4" customHeight="1" x14ac:dyDescent="0.25">
      <c r="A52" s="469" t="s">
        <v>612</v>
      </c>
      <c r="B52" s="3">
        <f>B51+1</f>
        <v>39</v>
      </c>
      <c r="C52" s="2" t="s">
        <v>634</v>
      </c>
      <c r="D52" s="2">
        <v>3520</v>
      </c>
      <c r="E52" s="3">
        <v>0</v>
      </c>
      <c r="F52" s="236">
        <f t="shared" si="32"/>
        <v>0</v>
      </c>
      <c r="G52" s="3">
        <v>264</v>
      </c>
      <c r="H52" s="236">
        <f t="shared" si="33"/>
        <v>7.5</v>
      </c>
      <c r="I52" s="3">
        <v>1473</v>
      </c>
      <c r="J52" s="236">
        <f t="shared" si="34"/>
        <v>41.846590909090907</v>
      </c>
      <c r="K52" s="3">
        <v>300</v>
      </c>
      <c r="L52" s="237">
        <f t="shared" si="35"/>
        <v>8.5227272727272716</v>
      </c>
      <c r="M52" s="3">
        <v>0</v>
      </c>
      <c r="N52" s="237">
        <f t="shared" si="36"/>
        <v>0</v>
      </c>
      <c r="O52" s="3">
        <v>0</v>
      </c>
      <c r="P52" s="237">
        <f t="shared" si="37"/>
        <v>0</v>
      </c>
      <c r="Q52" s="2">
        <f t="shared" si="38"/>
        <v>2037</v>
      </c>
      <c r="R52" s="455">
        <f t="shared" si="39"/>
        <v>57.869318181818187</v>
      </c>
      <c r="S52" s="2">
        <f t="shared" si="40"/>
        <v>1483</v>
      </c>
      <c r="T52" s="238">
        <f t="shared" si="41"/>
        <v>42.13068181818182</v>
      </c>
      <c r="U52" s="2"/>
      <c r="V52" s="217" t="s">
        <v>507</v>
      </c>
    </row>
    <row r="53" spans="1:22" ht="12.4" customHeight="1" x14ac:dyDescent="0.25">
      <c r="A53" s="469"/>
      <c r="B53" s="445"/>
      <c r="C53" s="446"/>
      <c r="D53" s="446"/>
      <c r="E53" s="445"/>
      <c r="F53" s="448"/>
      <c r="G53" s="445"/>
      <c r="H53" s="448"/>
      <c r="I53" s="445"/>
      <c r="J53" s="448"/>
      <c r="K53" s="445"/>
      <c r="L53" s="449"/>
      <c r="M53" s="445"/>
      <c r="N53" s="449"/>
      <c r="O53" s="445"/>
      <c r="P53" s="449"/>
      <c r="Q53" s="446"/>
      <c r="R53" s="450">
        <f>(R47+R48+R49+R50+R51+R52)/6</f>
        <v>64.619160790477324</v>
      </c>
      <c r="S53" s="446"/>
      <c r="T53" s="451"/>
      <c r="U53" s="446"/>
      <c r="V53" s="452"/>
    </row>
    <row r="54" spans="1:22" ht="12" customHeight="1" x14ac:dyDescent="0.25">
      <c r="A54" s="469" t="s">
        <v>612</v>
      </c>
      <c r="B54" s="471" t="s">
        <v>23</v>
      </c>
      <c r="C54" s="471"/>
      <c r="D54" s="243">
        <f>SUM(D47:D52)</f>
        <v>42310</v>
      </c>
      <c r="E54" s="225">
        <f>SUM(E47:E52)</f>
        <v>5776</v>
      </c>
      <c r="F54" s="225"/>
      <c r="G54" s="225">
        <f>SUM(G47:G52)</f>
        <v>2912</v>
      </c>
      <c r="H54" s="225"/>
      <c r="I54" s="225">
        <f>SUM(I47:I52)</f>
        <v>18702</v>
      </c>
      <c r="J54" s="239"/>
      <c r="K54" s="225">
        <f>SUM(K47:K52)</f>
        <v>876</v>
      </c>
      <c r="L54" s="225"/>
      <c r="M54" s="98">
        <f>SUM(M47:M52)</f>
        <v>0</v>
      </c>
      <c r="N54" s="98"/>
      <c r="O54" s="98">
        <f>SUM(O47:O52)</f>
        <v>0</v>
      </c>
      <c r="P54" s="98"/>
      <c r="Q54" s="98">
        <f>SUM(Q47:Q52)</f>
        <v>28266</v>
      </c>
      <c r="R54" s="225"/>
      <c r="S54" s="98">
        <f>SUM(S47:S52)</f>
        <v>14044</v>
      </c>
      <c r="T54" s="240"/>
      <c r="U54" s="225"/>
      <c r="V54" s="225"/>
    </row>
    <row r="55" spans="1:22" ht="12.2" customHeight="1" x14ac:dyDescent="0.25">
      <c r="A55" s="469">
        <v>5</v>
      </c>
      <c r="B55" s="470" t="s">
        <v>635</v>
      </c>
      <c r="C55" s="470"/>
      <c r="D55" s="1"/>
      <c r="E55" s="1"/>
      <c r="F55" s="1"/>
      <c r="G55" s="1"/>
      <c r="H55" s="1"/>
      <c r="I55" s="1"/>
      <c r="J55" s="233"/>
      <c r="K55" s="1"/>
      <c r="L55" s="1"/>
      <c r="M55" s="1"/>
      <c r="N55" s="1"/>
      <c r="O55" s="1"/>
      <c r="P55" s="1"/>
      <c r="Q55" s="1"/>
      <c r="R55" s="1"/>
      <c r="S55" s="1"/>
      <c r="T55" s="234"/>
      <c r="U55" s="1"/>
      <c r="V55" s="1"/>
    </row>
    <row r="56" spans="1:22" ht="12.75" customHeight="1" x14ac:dyDescent="0.25">
      <c r="A56" s="469" t="s">
        <v>612</v>
      </c>
      <c r="B56" s="3">
        <f>B52+1</f>
        <v>40</v>
      </c>
      <c r="C56" s="2" t="s">
        <v>636</v>
      </c>
      <c r="D56" s="2">
        <v>1948</v>
      </c>
      <c r="E56" s="3">
        <v>1240</v>
      </c>
      <c r="F56" s="236">
        <f t="shared" ref="F56:F67" si="42">E56/D56*100</f>
        <v>63.655030800821358</v>
      </c>
      <c r="G56" s="3">
        <v>0</v>
      </c>
      <c r="H56" s="236">
        <f t="shared" ref="H56:H67" si="43">G56/D56*100</f>
        <v>0</v>
      </c>
      <c r="I56" s="3">
        <v>381</v>
      </c>
      <c r="J56" s="236">
        <f t="shared" ref="J56:J67" si="44">I56/D56*100</f>
        <v>19.558521560574949</v>
      </c>
      <c r="K56" s="3">
        <v>0</v>
      </c>
      <c r="L56" s="237">
        <f t="shared" ref="L56:L67" si="45">K56/D56*100</f>
        <v>0</v>
      </c>
      <c r="M56" s="3">
        <v>0</v>
      </c>
      <c r="N56" s="237">
        <f t="shared" ref="N56:N67" si="46">M56/D56*100</f>
        <v>0</v>
      </c>
      <c r="O56" s="3">
        <v>0</v>
      </c>
      <c r="P56" s="237">
        <f t="shared" ref="P56:P67" si="47">O56/D56*100</f>
        <v>0</v>
      </c>
      <c r="Q56" s="2">
        <f t="shared" ref="Q56:Q67" si="48">E56+G56+I56+K56+M56+O56</f>
        <v>1621</v>
      </c>
      <c r="R56" s="455">
        <f t="shared" ref="R56:R67" si="49">Q56/D56*100</f>
        <v>83.21355236139631</v>
      </c>
      <c r="S56" s="2">
        <f t="shared" ref="S56:S67" si="50">D56-Q56</f>
        <v>327</v>
      </c>
      <c r="T56" s="238">
        <f t="shared" ref="T56:T67" si="51">S56/D56*100</f>
        <v>16.786447638603697</v>
      </c>
      <c r="U56" s="2"/>
      <c r="V56" s="217" t="s">
        <v>507</v>
      </c>
    </row>
    <row r="57" spans="1:22" ht="12.6" customHeight="1" x14ac:dyDescent="0.25">
      <c r="A57" s="469" t="s">
        <v>612</v>
      </c>
      <c r="B57" s="3">
        <f>B56+1</f>
        <v>41</v>
      </c>
      <c r="C57" s="2" t="s">
        <v>637</v>
      </c>
      <c r="D57" s="2">
        <v>6294</v>
      </c>
      <c r="E57" s="3">
        <v>6060</v>
      </c>
      <c r="F57" s="236">
        <f t="shared" si="42"/>
        <v>96.282173498570074</v>
      </c>
      <c r="G57" s="3">
        <v>0</v>
      </c>
      <c r="H57" s="236">
        <f t="shared" si="43"/>
        <v>0</v>
      </c>
      <c r="I57" s="3">
        <v>177</v>
      </c>
      <c r="J57" s="236">
        <f t="shared" si="44"/>
        <v>2.8122020972354624</v>
      </c>
      <c r="K57" s="3">
        <v>0</v>
      </c>
      <c r="L57" s="237">
        <f t="shared" si="45"/>
        <v>0</v>
      </c>
      <c r="M57" s="3">
        <v>0</v>
      </c>
      <c r="N57" s="237">
        <f t="shared" si="46"/>
        <v>0</v>
      </c>
      <c r="O57" s="3">
        <v>0</v>
      </c>
      <c r="P57" s="237">
        <f t="shared" si="47"/>
        <v>0</v>
      </c>
      <c r="Q57" s="2">
        <f t="shared" si="48"/>
        <v>6237</v>
      </c>
      <c r="R57" s="455">
        <f t="shared" si="49"/>
        <v>99.094375595805531</v>
      </c>
      <c r="S57" s="2">
        <f t="shared" si="50"/>
        <v>57</v>
      </c>
      <c r="T57" s="238">
        <f t="shared" si="51"/>
        <v>0.90562440419447099</v>
      </c>
      <c r="U57" s="2"/>
      <c r="V57" s="217" t="s">
        <v>507</v>
      </c>
    </row>
    <row r="58" spans="1:22" ht="12.4" customHeight="1" x14ac:dyDescent="0.25">
      <c r="A58" s="469" t="s">
        <v>612</v>
      </c>
      <c r="B58" s="3">
        <f t="shared" ref="B58:B67" si="52">B57+1</f>
        <v>42</v>
      </c>
      <c r="C58" s="2" t="s">
        <v>638</v>
      </c>
      <c r="D58" s="2">
        <v>6921</v>
      </c>
      <c r="E58" s="3">
        <v>212</v>
      </c>
      <c r="F58" s="236">
        <f t="shared" si="42"/>
        <v>3.0631411645715936</v>
      </c>
      <c r="G58" s="3">
        <v>0</v>
      </c>
      <c r="H58" s="236">
        <f t="shared" si="43"/>
        <v>0</v>
      </c>
      <c r="I58" s="3">
        <v>5031</v>
      </c>
      <c r="J58" s="236">
        <f t="shared" si="44"/>
        <v>72.69180754226268</v>
      </c>
      <c r="K58" s="3">
        <v>0</v>
      </c>
      <c r="L58" s="237">
        <f t="shared" si="45"/>
        <v>0</v>
      </c>
      <c r="M58" s="3">
        <v>0</v>
      </c>
      <c r="N58" s="237">
        <f t="shared" si="46"/>
        <v>0</v>
      </c>
      <c r="O58" s="3">
        <v>0</v>
      </c>
      <c r="P58" s="237">
        <f t="shared" si="47"/>
        <v>0</v>
      </c>
      <c r="Q58" s="2">
        <f t="shared" si="48"/>
        <v>5243</v>
      </c>
      <c r="R58" s="455">
        <f t="shared" si="49"/>
        <v>75.75494870683427</v>
      </c>
      <c r="S58" s="2">
        <f t="shared" si="50"/>
        <v>1678</v>
      </c>
      <c r="T58" s="238">
        <f t="shared" si="51"/>
        <v>24.24505129316573</v>
      </c>
      <c r="U58" s="2"/>
      <c r="V58" s="217" t="s">
        <v>507</v>
      </c>
    </row>
    <row r="59" spans="1:22" ht="12.6" customHeight="1" x14ac:dyDescent="0.25">
      <c r="A59" s="469" t="s">
        <v>612</v>
      </c>
      <c r="B59" s="3">
        <f t="shared" si="52"/>
        <v>43</v>
      </c>
      <c r="C59" s="2" t="s">
        <v>639</v>
      </c>
      <c r="D59" s="2">
        <v>6378</v>
      </c>
      <c r="E59" s="3">
        <v>6196</v>
      </c>
      <c r="F59" s="236">
        <f t="shared" si="42"/>
        <v>97.146440890561308</v>
      </c>
      <c r="G59" s="3">
        <v>0</v>
      </c>
      <c r="H59" s="236">
        <f t="shared" si="43"/>
        <v>0</v>
      </c>
      <c r="I59" s="3">
        <v>0</v>
      </c>
      <c r="J59" s="236">
        <f t="shared" si="44"/>
        <v>0</v>
      </c>
      <c r="K59" s="3">
        <v>0</v>
      </c>
      <c r="L59" s="237">
        <f t="shared" si="45"/>
        <v>0</v>
      </c>
      <c r="M59" s="3">
        <v>0</v>
      </c>
      <c r="N59" s="237">
        <f t="shared" si="46"/>
        <v>0</v>
      </c>
      <c r="O59" s="3">
        <v>0</v>
      </c>
      <c r="P59" s="237">
        <f t="shared" si="47"/>
        <v>0</v>
      </c>
      <c r="Q59" s="2">
        <f t="shared" si="48"/>
        <v>6196</v>
      </c>
      <c r="R59" s="455">
        <f t="shared" si="49"/>
        <v>97.146440890561308</v>
      </c>
      <c r="S59" s="2">
        <f t="shared" si="50"/>
        <v>182</v>
      </c>
      <c r="T59" s="238">
        <f t="shared" si="51"/>
        <v>2.8535591094386956</v>
      </c>
      <c r="U59" s="2"/>
      <c r="V59" s="217" t="s">
        <v>507</v>
      </c>
    </row>
    <row r="60" spans="1:22" ht="12.6" customHeight="1" x14ac:dyDescent="0.25">
      <c r="A60" s="469" t="s">
        <v>612</v>
      </c>
      <c r="B60" s="3">
        <f t="shared" si="52"/>
        <v>44</v>
      </c>
      <c r="C60" s="2" t="s">
        <v>640</v>
      </c>
      <c r="D60" s="2">
        <v>9012</v>
      </c>
      <c r="E60" s="3">
        <v>7885</v>
      </c>
      <c r="F60" s="236">
        <f t="shared" si="42"/>
        <v>87.494451841988464</v>
      </c>
      <c r="G60" s="3">
        <v>0</v>
      </c>
      <c r="H60" s="236">
        <f t="shared" si="43"/>
        <v>0</v>
      </c>
      <c r="I60" s="3">
        <v>0</v>
      </c>
      <c r="J60" s="236">
        <f t="shared" si="44"/>
        <v>0</v>
      </c>
      <c r="K60" s="3">
        <v>0</v>
      </c>
      <c r="L60" s="237">
        <f t="shared" si="45"/>
        <v>0</v>
      </c>
      <c r="M60" s="3">
        <v>0</v>
      </c>
      <c r="N60" s="237">
        <f t="shared" si="46"/>
        <v>0</v>
      </c>
      <c r="O60" s="3">
        <v>0</v>
      </c>
      <c r="P60" s="237">
        <f t="shared" si="47"/>
        <v>0</v>
      </c>
      <c r="Q60" s="2">
        <f t="shared" si="48"/>
        <v>7885</v>
      </c>
      <c r="R60" s="455">
        <f t="shared" si="49"/>
        <v>87.494451841988464</v>
      </c>
      <c r="S60" s="2">
        <f t="shared" si="50"/>
        <v>1127</v>
      </c>
      <c r="T60" s="238">
        <f t="shared" si="51"/>
        <v>12.505548158011539</v>
      </c>
      <c r="U60" s="3"/>
      <c r="V60" s="217" t="s">
        <v>507</v>
      </c>
    </row>
    <row r="61" spans="1:22" ht="12.4" customHeight="1" x14ac:dyDescent="0.25">
      <c r="A61" s="469" t="s">
        <v>612</v>
      </c>
      <c r="B61" s="3">
        <f t="shared" si="52"/>
        <v>45</v>
      </c>
      <c r="C61" s="2" t="s">
        <v>641</v>
      </c>
      <c r="D61" s="2">
        <v>5949</v>
      </c>
      <c r="E61" s="3">
        <v>5216</v>
      </c>
      <c r="F61" s="236">
        <f t="shared" si="42"/>
        <v>87.678601445621112</v>
      </c>
      <c r="G61" s="3">
        <v>0</v>
      </c>
      <c r="H61" s="236">
        <f t="shared" si="43"/>
        <v>0</v>
      </c>
      <c r="I61" s="3">
        <v>0</v>
      </c>
      <c r="J61" s="236">
        <f t="shared" si="44"/>
        <v>0</v>
      </c>
      <c r="K61" s="3">
        <v>0</v>
      </c>
      <c r="L61" s="237">
        <f t="shared" si="45"/>
        <v>0</v>
      </c>
      <c r="M61" s="3">
        <v>0</v>
      </c>
      <c r="N61" s="237">
        <f t="shared" si="46"/>
        <v>0</v>
      </c>
      <c r="O61" s="3">
        <v>0</v>
      </c>
      <c r="P61" s="237">
        <f t="shared" si="47"/>
        <v>0</v>
      </c>
      <c r="Q61" s="2">
        <f t="shared" si="48"/>
        <v>5216</v>
      </c>
      <c r="R61" s="455">
        <f t="shared" si="49"/>
        <v>87.678601445621112</v>
      </c>
      <c r="S61" s="2">
        <f t="shared" si="50"/>
        <v>733</v>
      </c>
      <c r="T61" s="238">
        <f t="shared" si="51"/>
        <v>12.321398554378888</v>
      </c>
      <c r="U61" s="2"/>
      <c r="V61" s="217" t="s">
        <v>507</v>
      </c>
    </row>
    <row r="62" spans="1:22" ht="12.4" customHeight="1" x14ac:dyDescent="0.25">
      <c r="A62" s="469" t="s">
        <v>612</v>
      </c>
      <c r="B62" s="3">
        <f t="shared" si="52"/>
        <v>46</v>
      </c>
      <c r="C62" s="2" t="s">
        <v>642</v>
      </c>
      <c r="D62" s="2">
        <v>4232</v>
      </c>
      <c r="E62" s="3">
        <v>1692</v>
      </c>
      <c r="F62" s="236">
        <f t="shared" si="42"/>
        <v>39.981096408317576</v>
      </c>
      <c r="G62" s="3">
        <v>0</v>
      </c>
      <c r="H62" s="236">
        <f t="shared" si="43"/>
        <v>0</v>
      </c>
      <c r="I62" s="3">
        <v>1905</v>
      </c>
      <c r="J62" s="236">
        <f t="shared" si="44"/>
        <v>45.014177693761816</v>
      </c>
      <c r="K62" s="3">
        <v>0</v>
      </c>
      <c r="L62" s="237">
        <f t="shared" si="45"/>
        <v>0</v>
      </c>
      <c r="M62" s="3">
        <v>0</v>
      </c>
      <c r="N62" s="237">
        <f t="shared" si="46"/>
        <v>0</v>
      </c>
      <c r="O62" s="3">
        <v>0</v>
      </c>
      <c r="P62" s="237">
        <f t="shared" si="47"/>
        <v>0</v>
      </c>
      <c r="Q62" s="2">
        <f t="shared" si="48"/>
        <v>3597</v>
      </c>
      <c r="R62" s="455">
        <f t="shared" si="49"/>
        <v>84.995274102079392</v>
      </c>
      <c r="S62" s="2">
        <f t="shared" si="50"/>
        <v>635</v>
      </c>
      <c r="T62" s="238">
        <f t="shared" si="51"/>
        <v>15.004725897920604</v>
      </c>
      <c r="U62" s="3"/>
      <c r="V62" s="217" t="s">
        <v>507</v>
      </c>
    </row>
    <row r="63" spans="1:22" ht="12.6" customHeight="1" x14ac:dyDescent="0.25">
      <c r="A63" s="469" t="s">
        <v>612</v>
      </c>
      <c r="B63" s="3">
        <f t="shared" si="52"/>
        <v>47</v>
      </c>
      <c r="C63" s="2" t="s">
        <v>643</v>
      </c>
      <c r="D63" s="2">
        <v>8940</v>
      </c>
      <c r="E63" s="3">
        <v>2652</v>
      </c>
      <c r="F63" s="236">
        <f t="shared" si="42"/>
        <v>29.664429530201343</v>
      </c>
      <c r="G63" s="3">
        <v>0</v>
      </c>
      <c r="H63" s="236">
        <f t="shared" si="43"/>
        <v>0</v>
      </c>
      <c r="I63" s="3">
        <v>4518</v>
      </c>
      <c r="J63" s="236">
        <f t="shared" si="44"/>
        <v>50.536912751677853</v>
      </c>
      <c r="K63" s="3">
        <v>0</v>
      </c>
      <c r="L63" s="237">
        <f t="shared" si="45"/>
        <v>0</v>
      </c>
      <c r="M63" s="3">
        <v>0</v>
      </c>
      <c r="N63" s="237">
        <f t="shared" si="46"/>
        <v>0</v>
      </c>
      <c r="O63" s="3">
        <v>0</v>
      </c>
      <c r="P63" s="237">
        <f t="shared" si="47"/>
        <v>0</v>
      </c>
      <c r="Q63" s="2">
        <f t="shared" si="48"/>
        <v>7170</v>
      </c>
      <c r="R63" s="455">
        <f t="shared" si="49"/>
        <v>80.201342281879192</v>
      </c>
      <c r="S63" s="2">
        <f t="shared" si="50"/>
        <v>1770</v>
      </c>
      <c r="T63" s="238">
        <f t="shared" si="51"/>
        <v>19.798657718120804</v>
      </c>
      <c r="U63" s="3"/>
      <c r="V63" s="217" t="s">
        <v>507</v>
      </c>
    </row>
    <row r="64" spans="1:22" ht="12.4" customHeight="1" x14ac:dyDescent="0.25">
      <c r="A64" s="469" t="s">
        <v>612</v>
      </c>
      <c r="B64" s="3">
        <f t="shared" si="52"/>
        <v>48</v>
      </c>
      <c r="C64" s="2" t="s">
        <v>644</v>
      </c>
      <c r="D64" s="2">
        <v>6510</v>
      </c>
      <c r="E64" s="3">
        <v>4672</v>
      </c>
      <c r="F64" s="236">
        <f t="shared" si="42"/>
        <v>71.766513056835635</v>
      </c>
      <c r="G64" s="3">
        <v>0</v>
      </c>
      <c r="H64" s="236">
        <f t="shared" si="43"/>
        <v>0</v>
      </c>
      <c r="I64" s="3">
        <v>225</v>
      </c>
      <c r="J64" s="236">
        <f t="shared" si="44"/>
        <v>3.4562211981566824</v>
      </c>
      <c r="K64" s="3">
        <v>0</v>
      </c>
      <c r="L64" s="237">
        <f t="shared" si="45"/>
        <v>0</v>
      </c>
      <c r="M64" s="3">
        <v>0</v>
      </c>
      <c r="N64" s="237">
        <f t="shared" si="46"/>
        <v>0</v>
      </c>
      <c r="O64" s="3">
        <v>0</v>
      </c>
      <c r="P64" s="237">
        <f t="shared" si="47"/>
        <v>0</v>
      </c>
      <c r="Q64" s="2">
        <f t="shared" si="48"/>
        <v>4897</v>
      </c>
      <c r="R64" s="455">
        <f t="shared" si="49"/>
        <v>75.222734254992318</v>
      </c>
      <c r="S64" s="2">
        <f t="shared" si="50"/>
        <v>1613</v>
      </c>
      <c r="T64" s="238">
        <f t="shared" si="51"/>
        <v>24.777265745007682</v>
      </c>
      <c r="U64" s="3"/>
      <c r="V64" s="217" t="s">
        <v>507</v>
      </c>
    </row>
    <row r="65" spans="1:22" ht="12.75" customHeight="1" x14ac:dyDescent="0.25">
      <c r="A65" s="469" t="s">
        <v>612</v>
      </c>
      <c r="B65" s="3">
        <f t="shared" si="52"/>
        <v>49</v>
      </c>
      <c r="C65" s="2" t="s">
        <v>645</v>
      </c>
      <c r="D65" s="2">
        <v>4094</v>
      </c>
      <c r="E65" s="3">
        <v>1156</v>
      </c>
      <c r="F65" s="236">
        <f t="shared" si="42"/>
        <v>28.236443575964827</v>
      </c>
      <c r="G65" s="3">
        <v>0</v>
      </c>
      <c r="H65" s="236">
        <f t="shared" si="43"/>
        <v>0</v>
      </c>
      <c r="I65" s="3">
        <v>2016</v>
      </c>
      <c r="J65" s="236">
        <f t="shared" si="44"/>
        <v>49.242794333170494</v>
      </c>
      <c r="K65" s="3">
        <v>0</v>
      </c>
      <c r="L65" s="237">
        <f t="shared" si="45"/>
        <v>0</v>
      </c>
      <c r="M65" s="3">
        <v>0</v>
      </c>
      <c r="N65" s="237">
        <f t="shared" si="46"/>
        <v>0</v>
      </c>
      <c r="O65" s="3">
        <v>0</v>
      </c>
      <c r="P65" s="237">
        <f t="shared" si="47"/>
        <v>0</v>
      </c>
      <c r="Q65" s="2">
        <f t="shared" si="48"/>
        <v>3172</v>
      </c>
      <c r="R65" s="455">
        <f t="shared" si="49"/>
        <v>77.479237909135321</v>
      </c>
      <c r="S65" s="2">
        <f t="shared" si="50"/>
        <v>922</v>
      </c>
      <c r="T65" s="238">
        <f t="shared" si="51"/>
        <v>22.520762090864679</v>
      </c>
      <c r="U65" s="3"/>
      <c r="V65" s="217" t="s">
        <v>507</v>
      </c>
    </row>
    <row r="66" spans="1:22" ht="12.75" customHeight="1" x14ac:dyDescent="0.25">
      <c r="A66" s="469"/>
      <c r="B66" s="3">
        <f t="shared" si="52"/>
        <v>50</v>
      </c>
      <c r="C66" s="2" t="s">
        <v>646</v>
      </c>
      <c r="D66" s="2">
        <v>2286</v>
      </c>
      <c r="E66" s="3">
        <v>1636</v>
      </c>
      <c r="F66" s="236">
        <f t="shared" si="42"/>
        <v>71.566054243219597</v>
      </c>
      <c r="G66" s="3">
        <v>0</v>
      </c>
      <c r="H66" s="236">
        <f t="shared" si="43"/>
        <v>0</v>
      </c>
      <c r="I66" s="3">
        <v>0</v>
      </c>
      <c r="J66" s="236">
        <f t="shared" si="44"/>
        <v>0</v>
      </c>
      <c r="K66" s="3">
        <v>0</v>
      </c>
      <c r="L66" s="237">
        <f t="shared" si="45"/>
        <v>0</v>
      </c>
      <c r="M66" s="3">
        <v>0</v>
      </c>
      <c r="N66" s="237">
        <f t="shared" si="46"/>
        <v>0</v>
      </c>
      <c r="O66" s="3">
        <v>0</v>
      </c>
      <c r="P66" s="237">
        <f t="shared" si="47"/>
        <v>0</v>
      </c>
      <c r="Q66" s="2">
        <f t="shared" si="48"/>
        <v>1636</v>
      </c>
      <c r="R66" s="455">
        <f t="shared" si="49"/>
        <v>71.566054243219597</v>
      </c>
      <c r="S66" s="2">
        <f t="shared" si="50"/>
        <v>650</v>
      </c>
      <c r="T66" s="238">
        <f t="shared" si="51"/>
        <v>28.433945756780403</v>
      </c>
      <c r="U66" s="3"/>
      <c r="V66" s="217" t="s">
        <v>507</v>
      </c>
    </row>
    <row r="67" spans="1:22" ht="12.75" customHeight="1" x14ac:dyDescent="0.25">
      <c r="A67" s="469"/>
      <c r="B67" s="3">
        <f t="shared" si="52"/>
        <v>51</v>
      </c>
      <c r="C67" s="2" t="s">
        <v>647</v>
      </c>
      <c r="D67" s="2">
        <v>4034</v>
      </c>
      <c r="E67" s="3">
        <v>1492</v>
      </c>
      <c r="F67" s="236">
        <f t="shared" si="42"/>
        <v>36.985622211204763</v>
      </c>
      <c r="G67" s="3">
        <v>0</v>
      </c>
      <c r="H67" s="236">
        <f t="shared" si="43"/>
        <v>0</v>
      </c>
      <c r="I67" s="3">
        <v>1908</v>
      </c>
      <c r="J67" s="236">
        <f t="shared" si="44"/>
        <v>47.297967278135843</v>
      </c>
      <c r="K67" s="3">
        <v>0</v>
      </c>
      <c r="L67" s="237">
        <f t="shared" si="45"/>
        <v>0</v>
      </c>
      <c r="M67" s="3">
        <v>0</v>
      </c>
      <c r="N67" s="237">
        <f t="shared" si="46"/>
        <v>0</v>
      </c>
      <c r="O67" s="3">
        <v>0</v>
      </c>
      <c r="P67" s="237">
        <f t="shared" si="47"/>
        <v>0</v>
      </c>
      <c r="Q67" s="2">
        <f t="shared" si="48"/>
        <v>3400</v>
      </c>
      <c r="R67" s="455">
        <f t="shared" si="49"/>
        <v>84.283589489340599</v>
      </c>
      <c r="S67" s="2">
        <f t="shared" si="50"/>
        <v>634</v>
      </c>
      <c r="T67" s="238">
        <f t="shared" si="51"/>
        <v>15.716410510659395</v>
      </c>
      <c r="U67" s="3"/>
      <c r="V67" s="217" t="s">
        <v>507</v>
      </c>
    </row>
    <row r="68" spans="1:22" ht="12.75" customHeight="1" x14ac:dyDescent="0.25">
      <c r="A68" s="469"/>
      <c r="B68" s="445"/>
      <c r="C68" s="446"/>
      <c r="D68" s="446"/>
      <c r="E68" s="445"/>
      <c r="F68" s="448"/>
      <c r="G68" s="445"/>
      <c r="H68" s="448"/>
      <c r="I68" s="445"/>
      <c r="J68" s="448"/>
      <c r="K68" s="445"/>
      <c r="L68" s="449"/>
      <c r="M68" s="445"/>
      <c r="N68" s="449"/>
      <c r="O68" s="445"/>
      <c r="P68" s="449"/>
      <c r="Q68" s="446"/>
      <c r="R68" s="450">
        <f>(R56+R57+R58+R59+R60+R61+R62+R63+R64+R65+R66+R67)/12</f>
        <v>83.677550260237794</v>
      </c>
      <c r="S68" s="446"/>
      <c r="T68" s="451"/>
      <c r="U68" s="445"/>
      <c r="V68" s="452"/>
    </row>
    <row r="69" spans="1:22" ht="12" customHeight="1" x14ac:dyDescent="0.25">
      <c r="A69" s="469" t="s">
        <v>612</v>
      </c>
      <c r="B69" s="471" t="s">
        <v>23</v>
      </c>
      <c r="C69" s="471"/>
      <c r="D69" s="243">
        <f>SUM(D56:D67)</f>
        <v>66598</v>
      </c>
      <c r="E69" s="225">
        <f>SUM(E56:E67)</f>
        <v>40109</v>
      </c>
      <c r="F69" s="225"/>
      <c r="G69" s="225">
        <f>SUM(G56:G67)</f>
        <v>0</v>
      </c>
      <c r="H69" s="225"/>
      <c r="I69" s="225">
        <f>SUM(I56:I67)</f>
        <v>16161</v>
      </c>
      <c r="J69" s="239"/>
      <c r="K69" s="225">
        <f>SUM(K56:K67)</f>
        <v>0</v>
      </c>
      <c r="L69" s="225"/>
      <c r="M69" s="225">
        <f>SUM(M56:M67)</f>
        <v>0</v>
      </c>
      <c r="N69" s="98"/>
      <c r="O69" s="225">
        <f>SUM(O56:O67)</f>
        <v>0</v>
      </c>
      <c r="P69" s="98"/>
      <c r="Q69" s="225">
        <f>SUM(Q56:Q67)</f>
        <v>56270</v>
      </c>
      <c r="R69" s="225"/>
      <c r="S69" s="225">
        <f>SUM(S56:S67)</f>
        <v>10328</v>
      </c>
      <c r="T69" s="240"/>
      <c r="U69" s="225"/>
      <c r="V69" s="225"/>
    </row>
    <row r="70" spans="1:22" ht="12.2" customHeight="1" x14ac:dyDescent="0.25">
      <c r="A70" s="469">
        <v>6</v>
      </c>
      <c r="B70" s="470" t="s">
        <v>648</v>
      </c>
      <c r="C70" s="470"/>
      <c r="D70" s="1"/>
      <c r="E70" s="1"/>
      <c r="F70" s="1"/>
      <c r="G70" s="1"/>
      <c r="H70" s="1"/>
      <c r="I70" s="1"/>
      <c r="J70" s="233"/>
      <c r="K70" s="1"/>
      <c r="L70" s="1"/>
      <c r="M70" s="1"/>
      <c r="N70" s="1"/>
      <c r="O70" s="1"/>
      <c r="P70" s="1"/>
      <c r="Q70" s="1"/>
      <c r="R70" s="1"/>
      <c r="S70" s="1"/>
      <c r="T70" s="234"/>
      <c r="U70" s="1"/>
      <c r="V70" s="1"/>
    </row>
    <row r="71" spans="1:22" ht="12.75" customHeight="1" x14ac:dyDescent="0.25">
      <c r="A71" s="469" t="s">
        <v>612</v>
      </c>
      <c r="B71" s="3">
        <f>B67+1</f>
        <v>52</v>
      </c>
      <c r="C71" s="2" t="s">
        <v>649</v>
      </c>
      <c r="D71" s="2">
        <v>5440</v>
      </c>
      <c r="E71" s="3">
        <v>1200</v>
      </c>
      <c r="F71" s="236">
        <f t="shared" ref="F71:F80" si="53">E71/D71*100</f>
        <v>22.058823529411764</v>
      </c>
      <c r="G71" s="3">
        <v>0</v>
      </c>
      <c r="H71" s="236">
        <f t="shared" ref="H71:H80" si="54">G71/D71*100</f>
        <v>0</v>
      </c>
      <c r="I71" s="3">
        <v>2616</v>
      </c>
      <c r="J71" s="236">
        <f t="shared" ref="J71:J80" si="55">I71/D71*100</f>
        <v>48.088235294117645</v>
      </c>
      <c r="K71" s="3">
        <v>0</v>
      </c>
      <c r="L71" s="237">
        <f t="shared" ref="L71:L80" si="56">K71/D71*100</f>
        <v>0</v>
      </c>
      <c r="M71" s="3">
        <v>0</v>
      </c>
      <c r="N71" s="237">
        <f t="shared" ref="N71:N80" si="57">M71/D71*100</f>
        <v>0</v>
      </c>
      <c r="O71" s="3">
        <v>0</v>
      </c>
      <c r="P71" s="237">
        <f t="shared" ref="P71:P80" si="58">O71/D71*100</f>
        <v>0</v>
      </c>
      <c r="Q71" s="2">
        <f t="shared" ref="Q71:Q80" si="59">E71+G71+I71+K71+M71+O71</f>
        <v>3816</v>
      </c>
      <c r="R71" s="455">
        <f t="shared" ref="R71:R80" si="60">Q71/D71*100</f>
        <v>70.147058823529406</v>
      </c>
      <c r="S71" s="2">
        <f t="shared" ref="S71:S80" si="61">D71-Q71</f>
        <v>1624</v>
      </c>
      <c r="T71" s="238">
        <f t="shared" ref="T71:T80" si="62">S71/D71*100</f>
        <v>29.852941176470587</v>
      </c>
      <c r="U71" s="2"/>
      <c r="V71" s="217" t="s">
        <v>507</v>
      </c>
    </row>
    <row r="72" spans="1:22" ht="12.6" customHeight="1" x14ac:dyDescent="0.25">
      <c r="A72" s="469" t="s">
        <v>612</v>
      </c>
      <c r="B72" s="3">
        <f>B71+1</f>
        <v>53</v>
      </c>
      <c r="C72" s="2" t="s">
        <v>650</v>
      </c>
      <c r="D72" s="2">
        <v>5046</v>
      </c>
      <c r="E72" s="3">
        <v>1995</v>
      </c>
      <c r="F72" s="236">
        <f t="shared" si="53"/>
        <v>39.536266349583826</v>
      </c>
      <c r="G72" s="3">
        <f>200*3</f>
        <v>600</v>
      </c>
      <c r="H72" s="236">
        <f t="shared" si="54"/>
        <v>11.890606420927467</v>
      </c>
      <c r="I72" s="3">
        <v>1713</v>
      </c>
      <c r="J72" s="236">
        <f t="shared" si="55"/>
        <v>33.947681331747923</v>
      </c>
      <c r="K72" s="3">
        <v>0</v>
      </c>
      <c r="L72" s="237">
        <f t="shared" si="56"/>
        <v>0</v>
      </c>
      <c r="M72" s="3">
        <v>0</v>
      </c>
      <c r="N72" s="237">
        <f t="shared" si="57"/>
        <v>0</v>
      </c>
      <c r="O72" s="3">
        <v>0</v>
      </c>
      <c r="P72" s="237">
        <f t="shared" si="58"/>
        <v>0</v>
      </c>
      <c r="Q72" s="2">
        <f t="shared" si="59"/>
        <v>4308</v>
      </c>
      <c r="R72" s="455">
        <f t="shared" si="60"/>
        <v>85.374554102259211</v>
      </c>
      <c r="S72" s="244">
        <f t="shared" si="61"/>
        <v>738</v>
      </c>
      <c r="T72" s="238">
        <f t="shared" si="62"/>
        <v>14.625445897740786</v>
      </c>
      <c r="U72" s="2"/>
      <c r="V72" s="217" t="s">
        <v>507</v>
      </c>
    </row>
    <row r="73" spans="1:22" ht="12.4" customHeight="1" x14ac:dyDescent="0.25">
      <c r="A73" s="469" t="s">
        <v>612</v>
      </c>
      <c r="B73" s="3">
        <f t="shared" ref="B73:B80" si="63">B72+1</f>
        <v>54</v>
      </c>
      <c r="C73" s="2" t="s">
        <v>651</v>
      </c>
      <c r="D73" s="2">
        <v>10239</v>
      </c>
      <c r="E73" s="3">
        <v>7400</v>
      </c>
      <c r="F73" s="236">
        <f t="shared" si="53"/>
        <v>72.272682879187428</v>
      </c>
      <c r="G73" s="3">
        <v>0</v>
      </c>
      <c r="H73" s="236">
        <f t="shared" si="54"/>
        <v>0</v>
      </c>
      <c r="I73" s="3">
        <v>2118</v>
      </c>
      <c r="J73" s="236">
        <f t="shared" si="55"/>
        <v>20.685613829475535</v>
      </c>
      <c r="K73" s="3">
        <v>0</v>
      </c>
      <c r="L73" s="237">
        <f t="shared" si="56"/>
        <v>0</v>
      </c>
      <c r="M73" s="3">
        <v>0</v>
      </c>
      <c r="N73" s="237">
        <f t="shared" si="57"/>
        <v>0</v>
      </c>
      <c r="O73" s="3">
        <v>0</v>
      </c>
      <c r="P73" s="237">
        <f t="shared" si="58"/>
        <v>0</v>
      </c>
      <c r="Q73" s="2">
        <f t="shared" si="59"/>
        <v>9518</v>
      </c>
      <c r="R73" s="455">
        <f t="shared" si="60"/>
        <v>92.958296708662957</v>
      </c>
      <c r="S73" s="2">
        <f t="shared" si="61"/>
        <v>721</v>
      </c>
      <c r="T73" s="238">
        <f t="shared" si="62"/>
        <v>7.0417032913370452</v>
      </c>
      <c r="U73" s="2"/>
      <c r="V73" s="217" t="s">
        <v>507</v>
      </c>
    </row>
    <row r="74" spans="1:22" ht="12.6" customHeight="1" x14ac:dyDescent="0.25">
      <c r="A74" s="469" t="s">
        <v>612</v>
      </c>
      <c r="B74" s="3">
        <f t="shared" si="63"/>
        <v>55</v>
      </c>
      <c r="C74" s="2" t="s">
        <v>652</v>
      </c>
      <c r="D74" s="2">
        <v>6464</v>
      </c>
      <c r="E74" s="3">
        <v>5080</v>
      </c>
      <c r="F74" s="236">
        <f t="shared" si="53"/>
        <v>78.589108910891099</v>
      </c>
      <c r="G74" s="3">
        <v>0</v>
      </c>
      <c r="H74" s="236">
        <f t="shared" si="54"/>
        <v>0</v>
      </c>
      <c r="I74" s="3">
        <v>504</v>
      </c>
      <c r="J74" s="236">
        <f t="shared" si="55"/>
        <v>7.7970297029702973</v>
      </c>
      <c r="K74" s="3">
        <v>0</v>
      </c>
      <c r="L74" s="237">
        <f t="shared" si="56"/>
        <v>0</v>
      </c>
      <c r="M74" s="3">
        <v>0</v>
      </c>
      <c r="N74" s="237">
        <f t="shared" si="57"/>
        <v>0</v>
      </c>
      <c r="O74" s="3">
        <v>0</v>
      </c>
      <c r="P74" s="237">
        <f t="shared" si="58"/>
        <v>0</v>
      </c>
      <c r="Q74" s="2">
        <f t="shared" si="59"/>
        <v>5584</v>
      </c>
      <c r="R74" s="455">
        <f t="shared" si="60"/>
        <v>86.386138613861391</v>
      </c>
      <c r="S74" s="2">
        <f t="shared" si="61"/>
        <v>880</v>
      </c>
      <c r="T74" s="238">
        <f t="shared" si="62"/>
        <v>13.613861386138614</v>
      </c>
      <c r="U74" s="2"/>
      <c r="V74" s="217" t="s">
        <v>507</v>
      </c>
    </row>
    <row r="75" spans="1:22" ht="12.6" customHeight="1" x14ac:dyDescent="0.25">
      <c r="A75" s="469" t="s">
        <v>612</v>
      </c>
      <c r="B75" s="3">
        <f t="shared" si="63"/>
        <v>56</v>
      </c>
      <c r="C75" s="2" t="s">
        <v>653</v>
      </c>
      <c r="D75" s="2">
        <v>5227</v>
      </c>
      <c r="E75" s="3">
        <v>1340</v>
      </c>
      <c r="F75" s="236">
        <f t="shared" si="53"/>
        <v>25.636120145398888</v>
      </c>
      <c r="G75" s="3">
        <v>0</v>
      </c>
      <c r="H75" s="236">
        <f t="shared" si="54"/>
        <v>0</v>
      </c>
      <c r="I75" s="3">
        <v>2220</v>
      </c>
      <c r="J75" s="236">
        <f t="shared" si="55"/>
        <v>42.471781136407117</v>
      </c>
      <c r="K75" s="3">
        <v>892</v>
      </c>
      <c r="L75" s="237">
        <f t="shared" si="56"/>
        <v>17.065238186340157</v>
      </c>
      <c r="M75" s="3">
        <v>0</v>
      </c>
      <c r="N75" s="237">
        <f t="shared" si="57"/>
        <v>0</v>
      </c>
      <c r="O75" s="3">
        <v>0</v>
      </c>
      <c r="P75" s="237">
        <f t="shared" si="58"/>
        <v>0</v>
      </c>
      <c r="Q75" s="2">
        <f t="shared" si="59"/>
        <v>4452</v>
      </c>
      <c r="R75" s="455">
        <f t="shared" si="60"/>
        <v>85.173139468146161</v>
      </c>
      <c r="S75" s="2">
        <f t="shared" si="61"/>
        <v>775</v>
      </c>
      <c r="T75" s="238">
        <f t="shared" si="62"/>
        <v>14.826860531853836</v>
      </c>
      <c r="U75" s="3"/>
      <c r="V75" s="217" t="s">
        <v>507</v>
      </c>
    </row>
    <row r="76" spans="1:22" ht="12.4" customHeight="1" x14ac:dyDescent="0.25">
      <c r="A76" s="469" t="s">
        <v>612</v>
      </c>
      <c r="B76" s="3">
        <f t="shared" si="63"/>
        <v>57</v>
      </c>
      <c r="C76" s="2" t="s">
        <v>654</v>
      </c>
      <c r="D76" s="2">
        <v>8060</v>
      </c>
      <c r="E76" s="3">
        <v>1256</v>
      </c>
      <c r="F76" s="236">
        <f t="shared" si="53"/>
        <v>15.583126550868487</v>
      </c>
      <c r="G76" s="3">
        <v>0</v>
      </c>
      <c r="H76" s="236">
        <f t="shared" si="54"/>
        <v>0</v>
      </c>
      <c r="I76" s="3">
        <v>5103</v>
      </c>
      <c r="J76" s="236">
        <f t="shared" si="55"/>
        <v>63.312655086848636</v>
      </c>
      <c r="K76" s="3">
        <v>0</v>
      </c>
      <c r="L76" s="237">
        <f t="shared" si="56"/>
        <v>0</v>
      </c>
      <c r="M76" s="3">
        <v>0</v>
      </c>
      <c r="N76" s="237">
        <f t="shared" si="57"/>
        <v>0</v>
      </c>
      <c r="O76" s="3">
        <v>0</v>
      </c>
      <c r="P76" s="237">
        <f t="shared" si="58"/>
        <v>0</v>
      </c>
      <c r="Q76" s="2">
        <f t="shared" si="59"/>
        <v>6359</v>
      </c>
      <c r="R76" s="455">
        <f t="shared" si="60"/>
        <v>78.895781637717121</v>
      </c>
      <c r="S76" s="2">
        <f t="shared" si="61"/>
        <v>1701</v>
      </c>
      <c r="T76" s="238">
        <f t="shared" si="62"/>
        <v>21.104218362282879</v>
      </c>
      <c r="U76" s="2"/>
      <c r="V76" s="217" t="s">
        <v>507</v>
      </c>
    </row>
    <row r="77" spans="1:22" ht="12.4" customHeight="1" x14ac:dyDescent="0.25">
      <c r="A77" s="469" t="s">
        <v>612</v>
      </c>
      <c r="B77" s="3">
        <f t="shared" si="63"/>
        <v>58</v>
      </c>
      <c r="C77" s="2" t="s">
        <v>655</v>
      </c>
      <c r="D77" s="2">
        <v>4571</v>
      </c>
      <c r="E77" s="3">
        <v>348</v>
      </c>
      <c r="F77" s="236">
        <f t="shared" si="53"/>
        <v>7.6132137387880121</v>
      </c>
      <c r="G77" s="3">
        <v>0</v>
      </c>
      <c r="H77" s="236">
        <f t="shared" si="54"/>
        <v>0</v>
      </c>
      <c r="I77" s="3">
        <v>2616</v>
      </c>
      <c r="J77" s="236">
        <f t="shared" si="55"/>
        <v>57.230365346751256</v>
      </c>
      <c r="K77" s="3">
        <v>0</v>
      </c>
      <c r="L77" s="237">
        <f t="shared" si="56"/>
        <v>0</v>
      </c>
      <c r="M77" s="3">
        <v>0</v>
      </c>
      <c r="N77" s="237">
        <f t="shared" si="57"/>
        <v>0</v>
      </c>
      <c r="O77" s="3">
        <v>0</v>
      </c>
      <c r="P77" s="237">
        <f t="shared" si="58"/>
        <v>0</v>
      </c>
      <c r="Q77" s="2">
        <f t="shared" si="59"/>
        <v>2964</v>
      </c>
      <c r="R77" s="455">
        <f t="shared" si="60"/>
        <v>64.843579085539275</v>
      </c>
      <c r="S77" s="2">
        <f t="shared" si="61"/>
        <v>1607</v>
      </c>
      <c r="T77" s="238">
        <f t="shared" si="62"/>
        <v>35.156420914460732</v>
      </c>
      <c r="U77" s="3"/>
      <c r="V77" s="217" t="s">
        <v>507</v>
      </c>
    </row>
    <row r="78" spans="1:22" ht="12.6" customHeight="1" x14ac:dyDescent="0.25">
      <c r="A78" s="469" t="s">
        <v>612</v>
      </c>
      <c r="B78" s="3">
        <f t="shared" si="63"/>
        <v>59</v>
      </c>
      <c r="C78" s="2" t="s">
        <v>656</v>
      </c>
      <c r="D78" s="2">
        <v>3370</v>
      </c>
      <c r="E78" s="3">
        <v>0</v>
      </c>
      <c r="F78" s="236">
        <f t="shared" si="53"/>
        <v>0</v>
      </c>
      <c r="G78" s="3">
        <v>0</v>
      </c>
      <c r="H78" s="236">
        <f t="shared" si="54"/>
        <v>0</v>
      </c>
      <c r="I78" s="3">
        <v>1959</v>
      </c>
      <c r="J78" s="236">
        <f t="shared" si="55"/>
        <v>58.130563798219583</v>
      </c>
      <c r="K78" s="3">
        <v>760</v>
      </c>
      <c r="L78" s="237">
        <f t="shared" si="56"/>
        <v>22.551928783382788</v>
      </c>
      <c r="M78" s="3">
        <v>0</v>
      </c>
      <c r="N78" s="237">
        <f t="shared" si="57"/>
        <v>0</v>
      </c>
      <c r="O78" s="3">
        <v>0</v>
      </c>
      <c r="P78" s="237">
        <f t="shared" si="58"/>
        <v>0</v>
      </c>
      <c r="Q78" s="2">
        <f t="shared" si="59"/>
        <v>2719</v>
      </c>
      <c r="R78" s="455">
        <f t="shared" si="60"/>
        <v>80.682492581602375</v>
      </c>
      <c r="S78" s="2">
        <f t="shared" si="61"/>
        <v>651</v>
      </c>
      <c r="T78" s="238">
        <f t="shared" si="62"/>
        <v>19.317507418397625</v>
      </c>
      <c r="U78" s="3"/>
      <c r="V78" s="217" t="s">
        <v>507</v>
      </c>
    </row>
    <row r="79" spans="1:22" ht="12.4" customHeight="1" x14ac:dyDescent="0.25">
      <c r="A79" s="469" t="s">
        <v>612</v>
      </c>
      <c r="B79" s="3">
        <f t="shared" si="63"/>
        <v>60</v>
      </c>
      <c r="C79" s="2" t="s">
        <v>657</v>
      </c>
      <c r="D79" s="2">
        <v>6770</v>
      </c>
      <c r="E79" s="3">
        <v>3036</v>
      </c>
      <c r="F79" s="236">
        <f t="shared" si="53"/>
        <v>44.844903988183162</v>
      </c>
      <c r="G79" s="3">
        <v>0</v>
      </c>
      <c r="H79" s="236">
        <f t="shared" si="54"/>
        <v>0</v>
      </c>
      <c r="I79" s="3">
        <v>1944</v>
      </c>
      <c r="J79" s="236">
        <f t="shared" si="55"/>
        <v>28.714918759231907</v>
      </c>
      <c r="K79" s="3">
        <v>0</v>
      </c>
      <c r="L79" s="237">
        <f t="shared" si="56"/>
        <v>0</v>
      </c>
      <c r="M79" s="3">
        <v>0</v>
      </c>
      <c r="N79" s="237">
        <f t="shared" si="57"/>
        <v>0</v>
      </c>
      <c r="O79" s="3">
        <v>0</v>
      </c>
      <c r="P79" s="237">
        <f t="shared" si="58"/>
        <v>0</v>
      </c>
      <c r="Q79" s="2">
        <f t="shared" si="59"/>
        <v>4980</v>
      </c>
      <c r="R79" s="455">
        <f t="shared" si="60"/>
        <v>73.559822747415069</v>
      </c>
      <c r="S79" s="2">
        <f t="shared" si="61"/>
        <v>1790</v>
      </c>
      <c r="T79" s="238">
        <f t="shared" si="62"/>
        <v>26.440177252584935</v>
      </c>
      <c r="U79" s="3"/>
      <c r="V79" s="217" t="s">
        <v>507</v>
      </c>
    </row>
    <row r="80" spans="1:22" ht="12.75" customHeight="1" x14ac:dyDescent="0.25">
      <c r="A80" s="469" t="s">
        <v>612</v>
      </c>
      <c r="B80" s="3">
        <f t="shared" si="63"/>
        <v>61</v>
      </c>
      <c r="C80" s="2" t="s">
        <v>658</v>
      </c>
      <c r="D80" s="2">
        <v>2916</v>
      </c>
      <c r="E80" s="3">
        <v>1152</v>
      </c>
      <c r="F80" s="236">
        <f t="shared" si="53"/>
        <v>39.506172839506171</v>
      </c>
      <c r="G80" s="3">
        <v>0</v>
      </c>
      <c r="H80" s="236">
        <f t="shared" si="54"/>
        <v>0</v>
      </c>
      <c r="I80" s="3">
        <v>1143</v>
      </c>
      <c r="J80" s="236">
        <f t="shared" si="55"/>
        <v>39.197530864197532</v>
      </c>
      <c r="K80" s="3">
        <v>240</v>
      </c>
      <c r="L80" s="237">
        <f t="shared" si="56"/>
        <v>8.2304526748971192</v>
      </c>
      <c r="M80" s="3">
        <v>0</v>
      </c>
      <c r="N80" s="237">
        <f t="shared" si="57"/>
        <v>0</v>
      </c>
      <c r="O80" s="3">
        <v>0</v>
      </c>
      <c r="P80" s="237">
        <f t="shared" si="58"/>
        <v>0</v>
      </c>
      <c r="Q80" s="2">
        <f t="shared" si="59"/>
        <v>2535</v>
      </c>
      <c r="R80" s="455">
        <f t="shared" si="60"/>
        <v>86.934156378600818</v>
      </c>
      <c r="S80" s="2">
        <f t="shared" si="61"/>
        <v>381</v>
      </c>
      <c r="T80" s="238">
        <f t="shared" si="62"/>
        <v>13.065843621399175</v>
      </c>
      <c r="U80" s="3"/>
      <c r="V80" s="217" t="s">
        <v>507</v>
      </c>
    </row>
    <row r="81" spans="1:22" ht="12.75" customHeight="1" x14ac:dyDescent="0.25">
      <c r="A81" s="469"/>
      <c r="B81" s="445"/>
      <c r="C81" s="446"/>
      <c r="D81" s="446"/>
      <c r="E81" s="445"/>
      <c r="F81" s="448"/>
      <c r="G81" s="445"/>
      <c r="H81" s="448"/>
      <c r="I81" s="445"/>
      <c r="J81" s="448"/>
      <c r="K81" s="445"/>
      <c r="L81" s="449"/>
      <c r="M81" s="445"/>
      <c r="N81" s="449"/>
      <c r="O81" s="445"/>
      <c r="P81" s="449"/>
      <c r="Q81" s="446"/>
      <c r="R81" s="450">
        <f>(R71+R72+R73+R74+R75+R76+R77+R78+R79+R80)/10</f>
        <v>80.495502014733376</v>
      </c>
      <c r="S81" s="446"/>
      <c r="T81" s="451"/>
      <c r="U81" s="445"/>
      <c r="V81" s="452"/>
    </row>
    <row r="82" spans="1:22" ht="12" customHeight="1" x14ac:dyDescent="0.25">
      <c r="A82" s="469" t="s">
        <v>612</v>
      </c>
      <c r="B82" s="471" t="s">
        <v>23</v>
      </c>
      <c r="C82" s="471"/>
      <c r="D82" s="243">
        <f>SUM(D71:D80)</f>
        <v>58103</v>
      </c>
      <c r="E82" s="225">
        <f>SUM(E71:E80)</f>
        <v>22807</v>
      </c>
      <c r="F82" s="225"/>
      <c r="G82" s="225">
        <f>SUM(G71:G80)</f>
        <v>600</v>
      </c>
      <c r="H82" s="225"/>
      <c r="I82" s="225">
        <f>SUM(I71:I80)</f>
        <v>21936</v>
      </c>
      <c r="J82" s="239"/>
      <c r="K82" s="225">
        <f>SUM(K71:K80)</f>
        <v>1892</v>
      </c>
      <c r="L82" s="225"/>
      <c r="M82" s="225">
        <f>SUM(M71:M80)</f>
        <v>0</v>
      </c>
      <c r="N82" s="98"/>
      <c r="O82" s="225">
        <f>SUM(O71:O80)</f>
        <v>0</v>
      </c>
      <c r="P82" s="98"/>
      <c r="Q82" s="225">
        <f>SUM(Q71:Q80)</f>
        <v>47235</v>
      </c>
      <c r="R82" s="225"/>
      <c r="S82" s="225">
        <f>SUM(S71:S80)</f>
        <v>10868</v>
      </c>
      <c r="T82" s="240"/>
      <c r="U82" s="225"/>
      <c r="V82" s="225"/>
    </row>
    <row r="83" spans="1:22" ht="12.2" customHeight="1" x14ac:dyDescent="0.25">
      <c r="A83" s="469">
        <v>7</v>
      </c>
      <c r="B83" s="470" t="s">
        <v>659</v>
      </c>
      <c r="C83" s="470"/>
      <c r="D83" s="1"/>
      <c r="E83" s="1"/>
      <c r="F83" s="1"/>
      <c r="G83" s="1"/>
      <c r="H83" s="1"/>
      <c r="I83" s="1"/>
      <c r="J83" s="233"/>
      <c r="K83" s="1"/>
      <c r="L83" s="1"/>
      <c r="M83" s="1"/>
      <c r="N83" s="1"/>
      <c r="O83" s="1"/>
      <c r="P83" s="1"/>
      <c r="Q83" s="1"/>
      <c r="R83" s="1"/>
      <c r="S83" s="1"/>
      <c r="T83" s="234"/>
      <c r="U83" s="1"/>
      <c r="V83" s="1"/>
    </row>
    <row r="84" spans="1:22" ht="12.75" customHeight="1" x14ac:dyDescent="0.25">
      <c r="A84" s="469" t="s">
        <v>612</v>
      </c>
      <c r="B84" s="3">
        <f>B80+1</f>
        <v>62</v>
      </c>
      <c r="C84" s="2" t="s">
        <v>660</v>
      </c>
      <c r="D84" s="2">
        <v>3863</v>
      </c>
      <c r="E84" s="3">
        <v>836</v>
      </c>
      <c r="F84" s="236">
        <f t="shared" ref="F84:F104" si="64">E84/D84*100</f>
        <v>21.641211493657778</v>
      </c>
      <c r="G84" s="3">
        <v>564</v>
      </c>
      <c r="H84" s="236">
        <f t="shared" ref="H84:H104" si="65">G84/D84*100</f>
        <v>14.600051773233238</v>
      </c>
      <c r="I84" s="3">
        <v>1239</v>
      </c>
      <c r="J84" s="236">
        <f t="shared" ref="J84:J104" si="66">I84/D84*100</f>
        <v>32.07351799119855</v>
      </c>
      <c r="K84" s="3">
        <v>0</v>
      </c>
      <c r="L84" s="237">
        <f t="shared" ref="L84:L104" si="67">K84/D84*100</f>
        <v>0</v>
      </c>
      <c r="M84" s="3">
        <v>0</v>
      </c>
      <c r="N84" s="237">
        <f t="shared" ref="N84:N104" si="68">M84/D84*100</f>
        <v>0</v>
      </c>
      <c r="O84" s="3">
        <v>0</v>
      </c>
      <c r="P84" s="237">
        <f t="shared" ref="P84:P104" si="69">O84/D84*100</f>
        <v>0</v>
      </c>
      <c r="Q84" s="2">
        <f t="shared" ref="Q84:Q104" si="70">E84+G84+I84+K84+M84+O84</f>
        <v>2639</v>
      </c>
      <c r="R84" s="455">
        <f t="shared" ref="R84:R104" si="71">Q84/D84*100</f>
        <v>68.314781258089567</v>
      </c>
      <c r="S84" s="2">
        <f t="shared" ref="S84:S104" si="72">D84-Q84</f>
        <v>1224</v>
      </c>
      <c r="T84" s="238">
        <f t="shared" ref="T84:T104" si="73">S84/D84*100</f>
        <v>31.685218741910433</v>
      </c>
      <c r="U84" s="2"/>
      <c r="V84" s="217" t="s">
        <v>507</v>
      </c>
    </row>
    <row r="85" spans="1:22" ht="12.6" customHeight="1" x14ac:dyDescent="0.25">
      <c r="A85" s="469" t="s">
        <v>612</v>
      </c>
      <c r="B85" s="3">
        <f>B84+1</f>
        <v>63</v>
      </c>
      <c r="C85" s="2" t="s">
        <v>661</v>
      </c>
      <c r="D85" s="2">
        <v>4030</v>
      </c>
      <c r="E85" s="3">
        <v>1244</v>
      </c>
      <c r="F85" s="236">
        <f t="shared" si="64"/>
        <v>30.868486352357323</v>
      </c>
      <c r="G85" s="3">
        <v>828</v>
      </c>
      <c r="H85" s="236">
        <f t="shared" si="65"/>
        <v>20.545905707196031</v>
      </c>
      <c r="I85" s="3">
        <v>1032</v>
      </c>
      <c r="J85" s="236">
        <f t="shared" si="66"/>
        <v>25.607940446650122</v>
      </c>
      <c r="K85" s="3">
        <v>0</v>
      </c>
      <c r="L85" s="237">
        <f t="shared" si="67"/>
        <v>0</v>
      </c>
      <c r="M85" s="3">
        <v>0</v>
      </c>
      <c r="N85" s="237">
        <f t="shared" si="68"/>
        <v>0</v>
      </c>
      <c r="O85" s="3">
        <v>0</v>
      </c>
      <c r="P85" s="237">
        <f t="shared" si="69"/>
        <v>0</v>
      </c>
      <c r="Q85" s="2">
        <f t="shared" si="70"/>
        <v>3104</v>
      </c>
      <c r="R85" s="455">
        <f t="shared" si="71"/>
        <v>77.022332506203469</v>
      </c>
      <c r="S85" s="2">
        <f t="shared" si="72"/>
        <v>926</v>
      </c>
      <c r="T85" s="238">
        <f t="shared" si="73"/>
        <v>22.977667493796524</v>
      </c>
      <c r="U85" s="217" t="s">
        <v>507</v>
      </c>
      <c r="V85" s="2"/>
    </row>
    <row r="86" spans="1:22" ht="12.4" customHeight="1" x14ac:dyDescent="0.25">
      <c r="A86" s="469" t="s">
        <v>612</v>
      </c>
      <c r="B86" s="3">
        <f t="shared" ref="B86:B104" si="74">B85+1</f>
        <v>64</v>
      </c>
      <c r="C86" s="2" t="s">
        <v>662</v>
      </c>
      <c r="D86" s="2">
        <v>3529</v>
      </c>
      <c r="E86" s="3">
        <v>2036</v>
      </c>
      <c r="F86" s="236">
        <f t="shared" si="64"/>
        <v>57.693397563049018</v>
      </c>
      <c r="G86" s="3">
        <v>0</v>
      </c>
      <c r="H86" s="236">
        <f t="shared" si="65"/>
        <v>0</v>
      </c>
      <c r="I86" s="3">
        <v>1119</v>
      </c>
      <c r="J86" s="236">
        <f t="shared" si="66"/>
        <v>31.708699348257298</v>
      </c>
      <c r="K86" s="3">
        <v>0</v>
      </c>
      <c r="L86" s="237">
        <f t="shared" si="67"/>
        <v>0</v>
      </c>
      <c r="M86" s="3">
        <v>0</v>
      </c>
      <c r="N86" s="237">
        <f t="shared" si="68"/>
        <v>0</v>
      </c>
      <c r="O86" s="3">
        <v>0</v>
      </c>
      <c r="P86" s="237">
        <f t="shared" si="69"/>
        <v>0</v>
      </c>
      <c r="Q86" s="2">
        <f t="shared" si="70"/>
        <v>3155</v>
      </c>
      <c r="R86" s="455">
        <f t="shared" si="71"/>
        <v>89.402096911306316</v>
      </c>
      <c r="S86" s="2">
        <f t="shared" si="72"/>
        <v>374</v>
      </c>
      <c r="T86" s="238">
        <f t="shared" si="73"/>
        <v>10.59790308869368</v>
      </c>
      <c r="U86" s="217" t="s">
        <v>507</v>
      </c>
      <c r="V86" s="2"/>
    </row>
    <row r="87" spans="1:22" ht="12.6" customHeight="1" x14ac:dyDescent="0.25">
      <c r="A87" s="469" t="s">
        <v>612</v>
      </c>
      <c r="B87" s="3">
        <f t="shared" si="74"/>
        <v>65</v>
      </c>
      <c r="C87" s="2" t="s">
        <v>663</v>
      </c>
      <c r="D87" s="2">
        <v>4950</v>
      </c>
      <c r="E87" s="3">
        <v>344</v>
      </c>
      <c r="F87" s="236">
        <f t="shared" si="64"/>
        <v>6.9494949494949498</v>
      </c>
      <c r="G87" s="3">
        <v>276</v>
      </c>
      <c r="H87" s="236">
        <f t="shared" si="65"/>
        <v>5.5757575757575752</v>
      </c>
      <c r="I87" s="3">
        <v>2019</v>
      </c>
      <c r="J87" s="236">
        <f t="shared" si="66"/>
        <v>40.787878787878789</v>
      </c>
      <c r="K87" s="3">
        <v>0</v>
      </c>
      <c r="L87" s="237">
        <f t="shared" si="67"/>
        <v>0</v>
      </c>
      <c r="M87" s="3">
        <v>0</v>
      </c>
      <c r="N87" s="237">
        <f t="shared" si="68"/>
        <v>0</v>
      </c>
      <c r="O87" s="3">
        <v>0</v>
      </c>
      <c r="P87" s="237">
        <f t="shared" si="69"/>
        <v>0</v>
      </c>
      <c r="Q87" s="2">
        <f t="shared" si="70"/>
        <v>2639</v>
      </c>
      <c r="R87" s="455">
        <f t="shared" si="71"/>
        <v>53.313131313131315</v>
      </c>
      <c r="S87" s="2">
        <f t="shared" si="72"/>
        <v>2311</v>
      </c>
      <c r="T87" s="238">
        <f t="shared" si="73"/>
        <v>46.686868686868685</v>
      </c>
      <c r="U87" s="2"/>
      <c r="V87" s="217" t="s">
        <v>507</v>
      </c>
    </row>
    <row r="88" spans="1:22" ht="12.6" customHeight="1" x14ac:dyDescent="0.25">
      <c r="A88" s="469" t="s">
        <v>612</v>
      </c>
      <c r="B88" s="3">
        <f t="shared" si="74"/>
        <v>66</v>
      </c>
      <c r="C88" s="2" t="s">
        <v>664</v>
      </c>
      <c r="D88" s="2">
        <v>6927</v>
      </c>
      <c r="E88" s="3">
        <v>772</v>
      </c>
      <c r="F88" s="236">
        <f t="shared" si="64"/>
        <v>11.144795726865887</v>
      </c>
      <c r="G88" s="3">
        <v>848</v>
      </c>
      <c r="H88" s="236">
        <f t="shared" si="65"/>
        <v>12.241951782878591</v>
      </c>
      <c r="I88" s="3">
        <v>4305</v>
      </c>
      <c r="J88" s="236">
        <f t="shared" si="66"/>
        <v>62.148116067561723</v>
      </c>
      <c r="K88" s="3">
        <v>0</v>
      </c>
      <c r="L88" s="237">
        <f t="shared" si="67"/>
        <v>0</v>
      </c>
      <c r="M88" s="3">
        <v>0</v>
      </c>
      <c r="N88" s="237">
        <f t="shared" si="68"/>
        <v>0</v>
      </c>
      <c r="O88" s="3">
        <v>0</v>
      </c>
      <c r="P88" s="237">
        <f t="shared" si="69"/>
        <v>0</v>
      </c>
      <c r="Q88" s="2">
        <f t="shared" si="70"/>
        <v>5925</v>
      </c>
      <c r="R88" s="455">
        <f t="shared" si="71"/>
        <v>85.534863577306197</v>
      </c>
      <c r="S88" s="2">
        <f t="shared" si="72"/>
        <v>1002</v>
      </c>
      <c r="T88" s="238">
        <f t="shared" si="73"/>
        <v>14.465136422693806</v>
      </c>
      <c r="U88" s="217" t="s">
        <v>507</v>
      </c>
      <c r="V88" s="2"/>
    </row>
    <row r="89" spans="1:22" ht="12.4" customHeight="1" x14ac:dyDescent="0.25">
      <c r="A89" s="469" t="s">
        <v>612</v>
      </c>
      <c r="B89" s="3">
        <f t="shared" si="74"/>
        <v>67</v>
      </c>
      <c r="C89" s="2" t="s">
        <v>665</v>
      </c>
      <c r="D89" s="2">
        <v>5224</v>
      </c>
      <c r="E89" s="3">
        <v>0</v>
      </c>
      <c r="F89" s="236">
        <f t="shared" si="64"/>
        <v>0</v>
      </c>
      <c r="G89" s="3">
        <v>1532</v>
      </c>
      <c r="H89" s="236">
        <f t="shared" si="65"/>
        <v>29.326186830015317</v>
      </c>
      <c r="I89" s="3">
        <v>2160</v>
      </c>
      <c r="J89" s="236">
        <f t="shared" si="66"/>
        <v>41.347626339969374</v>
      </c>
      <c r="K89" s="3">
        <v>0</v>
      </c>
      <c r="L89" s="237">
        <f t="shared" si="67"/>
        <v>0</v>
      </c>
      <c r="M89" s="3">
        <v>0</v>
      </c>
      <c r="N89" s="237">
        <f t="shared" si="68"/>
        <v>0</v>
      </c>
      <c r="O89" s="3">
        <v>0</v>
      </c>
      <c r="P89" s="237">
        <f t="shared" si="69"/>
        <v>0</v>
      </c>
      <c r="Q89" s="2">
        <f t="shared" si="70"/>
        <v>3692</v>
      </c>
      <c r="R89" s="455">
        <f t="shared" si="71"/>
        <v>70.673813169984683</v>
      </c>
      <c r="S89" s="2">
        <f t="shared" si="72"/>
        <v>1532</v>
      </c>
      <c r="T89" s="238">
        <f t="shared" si="73"/>
        <v>29.326186830015317</v>
      </c>
      <c r="U89" s="217" t="s">
        <v>507</v>
      </c>
      <c r="V89" s="217"/>
    </row>
    <row r="90" spans="1:22" ht="12.4" customHeight="1" x14ac:dyDescent="0.25">
      <c r="A90" s="469" t="s">
        <v>612</v>
      </c>
      <c r="B90" s="3">
        <f t="shared" si="74"/>
        <v>68</v>
      </c>
      <c r="C90" s="2" t="s">
        <v>666</v>
      </c>
      <c r="D90" s="2">
        <v>4467</v>
      </c>
      <c r="E90" s="3">
        <v>0</v>
      </c>
      <c r="F90" s="236">
        <f t="shared" si="64"/>
        <v>0</v>
      </c>
      <c r="G90" s="3">
        <v>1004</v>
      </c>
      <c r="H90" s="236">
        <f t="shared" si="65"/>
        <v>22.4759346317439</v>
      </c>
      <c r="I90" s="3">
        <v>1950</v>
      </c>
      <c r="J90" s="236">
        <f t="shared" si="66"/>
        <v>43.653458697112157</v>
      </c>
      <c r="K90" s="3">
        <v>0</v>
      </c>
      <c r="L90" s="237">
        <f t="shared" si="67"/>
        <v>0</v>
      </c>
      <c r="M90" s="3">
        <v>0</v>
      </c>
      <c r="N90" s="237">
        <f t="shared" si="68"/>
        <v>0</v>
      </c>
      <c r="O90" s="3">
        <v>0</v>
      </c>
      <c r="P90" s="237">
        <f t="shared" si="69"/>
        <v>0</v>
      </c>
      <c r="Q90" s="2">
        <f t="shared" si="70"/>
        <v>2954</v>
      </c>
      <c r="R90" s="455">
        <f t="shared" si="71"/>
        <v>66.129393328856054</v>
      </c>
      <c r="S90" s="2">
        <f t="shared" si="72"/>
        <v>1513</v>
      </c>
      <c r="T90" s="238">
        <f t="shared" si="73"/>
        <v>33.870606671143946</v>
      </c>
      <c r="U90" s="217" t="s">
        <v>507</v>
      </c>
      <c r="V90" s="2"/>
    </row>
    <row r="91" spans="1:22" ht="12.6" customHeight="1" x14ac:dyDescent="0.25">
      <c r="A91" s="469" t="s">
        <v>612</v>
      </c>
      <c r="B91" s="3">
        <f t="shared" si="74"/>
        <v>69</v>
      </c>
      <c r="C91" s="2" t="s">
        <v>667</v>
      </c>
      <c r="D91" s="2">
        <v>4617</v>
      </c>
      <c r="E91" s="3">
        <v>0</v>
      </c>
      <c r="F91" s="236">
        <f t="shared" si="64"/>
        <v>0</v>
      </c>
      <c r="G91" s="3">
        <v>1860</v>
      </c>
      <c r="H91" s="236">
        <f t="shared" si="65"/>
        <v>40.285899935022741</v>
      </c>
      <c r="I91" s="3">
        <v>582</v>
      </c>
      <c r="J91" s="236">
        <f t="shared" si="66"/>
        <v>12.605588044184534</v>
      </c>
      <c r="K91" s="3">
        <v>0</v>
      </c>
      <c r="L91" s="237">
        <f t="shared" si="67"/>
        <v>0</v>
      </c>
      <c r="M91" s="3">
        <v>0</v>
      </c>
      <c r="N91" s="237">
        <f t="shared" si="68"/>
        <v>0</v>
      </c>
      <c r="O91" s="3">
        <v>0</v>
      </c>
      <c r="P91" s="237">
        <f t="shared" si="69"/>
        <v>0</v>
      </c>
      <c r="Q91" s="2">
        <f t="shared" si="70"/>
        <v>2442</v>
      </c>
      <c r="R91" s="455">
        <f t="shared" si="71"/>
        <v>52.891487979207277</v>
      </c>
      <c r="S91" s="2">
        <f t="shared" si="72"/>
        <v>2175</v>
      </c>
      <c r="T91" s="238">
        <f t="shared" si="73"/>
        <v>47.108512020792723</v>
      </c>
      <c r="U91" s="217" t="s">
        <v>507</v>
      </c>
      <c r="V91" s="2"/>
    </row>
    <row r="92" spans="1:22" ht="12.4" customHeight="1" x14ac:dyDescent="0.25">
      <c r="A92" s="469" t="s">
        <v>612</v>
      </c>
      <c r="B92" s="3">
        <f t="shared" si="74"/>
        <v>70</v>
      </c>
      <c r="C92" s="2" t="s">
        <v>668</v>
      </c>
      <c r="D92" s="2">
        <v>5635</v>
      </c>
      <c r="E92" s="3">
        <v>0</v>
      </c>
      <c r="F92" s="236">
        <f t="shared" si="64"/>
        <v>0</v>
      </c>
      <c r="G92" s="3">
        <v>1788</v>
      </c>
      <c r="H92" s="236">
        <f t="shared" si="65"/>
        <v>31.730257320319431</v>
      </c>
      <c r="I92" s="3">
        <v>3387</v>
      </c>
      <c r="J92" s="236">
        <f t="shared" si="66"/>
        <v>60.106477373558121</v>
      </c>
      <c r="K92" s="3">
        <v>0</v>
      </c>
      <c r="L92" s="237">
        <f t="shared" si="67"/>
        <v>0</v>
      </c>
      <c r="M92" s="3">
        <v>0</v>
      </c>
      <c r="N92" s="237">
        <f t="shared" si="68"/>
        <v>0</v>
      </c>
      <c r="O92" s="3">
        <v>0</v>
      </c>
      <c r="P92" s="237">
        <f t="shared" si="69"/>
        <v>0</v>
      </c>
      <c r="Q92" s="2">
        <f t="shared" si="70"/>
        <v>5175</v>
      </c>
      <c r="R92" s="455">
        <f t="shared" si="71"/>
        <v>91.83673469387756</v>
      </c>
      <c r="S92" s="2">
        <f t="shared" si="72"/>
        <v>460</v>
      </c>
      <c r="T92" s="238">
        <f t="shared" si="73"/>
        <v>8.1632653061224492</v>
      </c>
      <c r="U92" s="217" t="s">
        <v>507</v>
      </c>
      <c r="V92" s="2"/>
    </row>
    <row r="93" spans="1:22" ht="12.75" customHeight="1" x14ac:dyDescent="0.25">
      <c r="A93" s="469" t="s">
        <v>612</v>
      </c>
      <c r="B93" s="3">
        <f t="shared" si="74"/>
        <v>71</v>
      </c>
      <c r="C93" s="2" t="s">
        <v>669</v>
      </c>
      <c r="D93" s="2">
        <v>6081</v>
      </c>
      <c r="E93" s="3">
        <v>976</v>
      </c>
      <c r="F93" s="236">
        <f t="shared" si="64"/>
        <v>16.049991777668147</v>
      </c>
      <c r="G93" s="3">
        <v>400</v>
      </c>
      <c r="H93" s="236">
        <f t="shared" si="65"/>
        <v>6.5778654826508802</v>
      </c>
      <c r="I93" s="3">
        <v>3285</v>
      </c>
      <c r="J93" s="236">
        <f t="shared" si="66"/>
        <v>54.020720276270353</v>
      </c>
      <c r="K93" s="3">
        <v>0</v>
      </c>
      <c r="L93" s="237">
        <f t="shared" si="67"/>
        <v>0</v>
      </c>
      <c r="M93" s="3">
        <v>0</v>
      </c>
      <c r="N93" s="237">
        <f t="shared" si="68"/>
        <v>0</v>
      </c>
      <c r="O93" s="3">
        <v>0</v>
      </c>
      <c r="P93" s="237">
        <f t="shared" si="69"/>
        <v>0</v>
      </c>
      <c r="Q93" s="2">
        <f t="shared" si="70"/>
        <v>4661</v>
      </c>
      <c r="R93" s="455">
        <f t="shared" si="71"/>
        <v>76.648577536589386</v>
      </c>
      <c r="S93" s="2">
        <f t="shared" si="72"/>
        <v>1420</v>
      </c>
      <c r="T93" s="238">
        <f t="shared" si="73"/>
        <v>23.351422463410625</v>
      </c>
      <c r="U93" s="217" t="s">
        <v>507</v>
      </c>
      <c r="V93" s="2"/>
    </row>
    <row r="94" spans="1:22" ht="12.75" customHeight="1" x14ac:dyDescent="0.25">
      <c r="A94" s="469"/>
      <c r="B94" s="3">
        <f t="shared" si="74"/>
        <v>72</v>
      </c>
      <c r="C94" s="2" t="s">
        <v>670</v>
      </c>
      <c r="D94" s="2">
        <v>6160</v>
      </c>
      <c r="E94" s="3">
        <v>0</v>
      </c>
      <c r="F94" s="236">
        <f t="shared" si="64"/>
        <v>0</v>
      </c>
      <c r="G94" s="3">
        <v>1648</v>
      </c>
      <c r="H94" s="236">
        <f t="shared" si="65"/>
        <v>26.753246753246749</v>
      </c>
      <c r="I94" s="3">
        <v>3120</v>
      </c>
      <c r="J94" s="236">
        <f t="shared" si="66"/>
        <v>50.649350649350644</v>
      </c>
      <c r="K94" s="3">
        <v>0</v>
      </c>
      <c r="L94" s="237">
        <f t="shared" si="67"/>
        <v>0</v>
      </c>
      <c r="M94" s="3">
        <v>0</v>
      </c>
      <c r="N94" s="237">
        <f t="shared" si="68"/>
        <v>0</v>
      </c>
      <c r="O94" s="3">
        <v>0</v>
      </c>
      <c r="P94" s="237">
        <f t="shared" si="69"/>
        <v>0</v>
      </c>
      <c r="Q94" s="2">
        <f t="shared" si="70"/>
        <v>4768</v>
      </c>
      <c r="R94" s="455">
        <f t="shared" si="71"/>
        <v>77.402597402597408</v>
      </c>
      <c r="S94" s="2">
        <f t="shared" si="72"/>
        <v>1392</v>
      </c>
      <c r="T94" s="238">
        <f t="shared" si="73"/>
        <v>22.597402597402596</v>
      </c>
      <c r="U94" s="217" t="s">
        <v>507</v>
      </c>
      <c r="V94" s="2"/>
    </row>
    <row r="95" spans="1:22" ht="12.75" customHeight="1" x14ac:dyDescent="0.25">
      <c r="A95" s="469"/>
      <c r="B95" s="3">
        <f t="shared" si="74"/>
        <v>73</v>
      </c>
      <c r="C95" s="2" t="s">
        <v>671</v>
      </c>
      <c r="D95" s="2">
        <v>3340</v>
      </c>
      <c r="E95" s="3">
        <v>1788</v>
      </c>
      <c r="F95" s="236">
        <f t="shared" si="64"/>
        <v>53.532934131736532</v>
      </c>
      <c r="G95" s="3">
        <v>0</v>
      </c>
      <c r="H95" s="236">
        <f t="shared" si="65"/>
        <v>0</v>
      </c>
      <c r="I95" s="3">
        <v>1164</v>
      </c>
      <c r="J95" s="236">
        <f t="shared" si="66"/>
        <v>34.850299401197603</v>
      </c>
      <c r="K95" s="3">
        <v>0</v>
      </c>
      <c r="L95" s="237">
        <f t="shared" si="67"/>
        <v>0</v>
      </c>
      <c r="M95" s="3">
        <v>0</v>
      </c>
      <c r="N95" s="237">
        <f t="shared" si="68"/>
        <v>0</v>
      </c>
      <c r="O95" s="3">
        <v>0</v>
      </c>
      <c r="P95" s="237">
        <f t="shared" si="69"/>
        <v>0</v>
      </c>
      <c r="Q95" s="2">
        <f t="shared" si="70"/>
        <v>2952</v>
      </c>
      <c r="R95" s="455">
        <f t="shared" si="71"/>
        <v>88.383233532934142</v>
      </c>
      <c r="S95" s="2">
        <f t="shared" si="72"/>
        <v>388</v>
      </c>
      <c r="T95" s="238">
        <f t="shared" si="73"/>
        <v>11.616766467065869</v>
      </c>
      <c r="U95" s="217"/>
      <c r="V95" s="217" t="s">
        <v>507</v>
      </c>
    </row>
    <row r="96" spans="1:22" ht="12.75" customHeight="1" x14ac:dyDescent="0.25">
      <c r="A96" s="469"/>
      <c r="B96" s="3">
        <f t="shared" si="74"/>
        <v>74</v>
      </c>
      <c r="C96" s="2" t="s">
        <v>672</v>
      </c>
      <c r="D96" s="2">
        <v>7610</v>
      </c>
      <c r="E96" s="3">
        <v>4724</v>
      </c>
      <c r="F96" s="236">
        <f t="shared" si="64"/>
        <v>62.076215505913268</v>
      </c>
      <c r="G96" s="3">
        <v>0</v>
      </c>
      <c r="H96" s="236">
        <f t="shared" si="65"/>
        <v>0</v>
      </c>
      <c r="I96" s="3">
        <v>2166</v>
      </c>
      <c r="J96" s="236">
        <f t="shared" si="66"/>
        <v>28.462549277266753</v>
      </c>
      <c r="K96" s="3">
        <v>0</v>
      </c>
      <c r="L96" s="237">
        <f t="shared" si="67"/>
        <v>0</v>
      </c>
      <c r="M96" s="3">
        <v>0</v>
      </c>
      <c r="N96" s="237">
        <f t="shared" si="68"/>
        <v>0</v>
      </c>
      <c r="O96" s="3">
        <v>0</v>
      </c>
      <c r="P96" s="237">
        <f t="shared" si="69"/>
        <v>0</v>
      </c>
      <c r="Q96" s="2">
        <f t="shared" si="70"/>
        <v>6890</v>
      </c>
      <c r="R96" s="455">
        <f t="shared" si="71"/>
        <v>90.538764783180028</v>
      </c>
      <c r="S96" s="2">
        <f t="shared" si="72"/>
        <v>720</v>
      </c>
      <c r="T96" s="238">
        <f t="shared" si="73"/>
        <v>9.4612352168199738</v>
      </c>
      <c r="U96" s="3"/>
      <c r="V96" s="217" t="s">
        <v>507</v>
      </c>
    </row>
    <row r="97" spans="1:22" ht="12.75" customHeight="1" x14ac:dyDescent="0.25">
      <c r="A97" s="469"/>
      <c r="B97" s="3">
        <f t="shared" si="74"/>
        <v>75</v>
      </c>
      <c r="C97" s="2" t="s">
        <v>673</v>
      </c>
      <c r="D97" s="2">
        <v>4490</v>
      </c>
      <c r="E97" s="3">
        <v>2284</v>
      </c>
      <c r="F97" s="236">
        <f t="shared" si="64"/>
        <v>50.868596881959917</v>
      </c>
      <c r="G97" s="3">
        <v>136</v>
      </c>
      <c r="H97" s="236">
        <f t="shared" si="65"/>
        <v>3.0289532293986636</v>
      </c>
      <c r="I97" s="3">
        <v>1341</v>
      </c>
      <c r="J97" s="236">
        <f t="shared" si="66"/>
        <v>29.866369710467705</v>
      </c>
      <c r="K97" s="3">
        <v>0</v>
      </c>
      <c r="L97" s="237">
        <f t="shared" si="67"/>
        <v>0</v>
      </c>
      <c r="M97" s="3">
        <v>0</v>
      </c>
      <c r="N97" s="237">
        <f t="shared" si="68"/>
        <v>0</v>
      </c>
      <c r="O97" s="3">
        <v>0</v>
      </c>
      <c r="P97" s="237">
        <f t="shared" si="69"/>
        <v>0</v>
      </c>
      <c r="Q97" s="2">
        <f t="shared" si="70"/>
        <v>3761</v>
      </c>
      <c r="R97" s="455">
        <f t="shared" si="71"/>
        <v>83.763919821826278</v>
      </c>
      <c r="S97" s="2">
        <f t="shared" si="72"/>
        <v>729</v>
      </c>
      <c r="T97" s="238">
        <f t="shared" si="73"/>
        <v>16.236080178173719</v>
      </c>
      <c r="U97" s="217" t="s">
        <v>507</v>
      </c>
      <c r="V97" s="2"/>
    </row>
    <row r="98" spans="1:22" ht="12.75" customHeight="1" x14ac:dyDescent="0.25">
      <c r="A98" s="469"/>
      <c r="B98" s="3">
        <f t="shared" si="74"/>
        <v>76</v>
      </c>
      <c r="C98" s="2" t="s">
        <v>674</v>
      </c>
      <c r="D98" s="2">
        <v>4614</v>
      </c>
      <c r="E98" s="3">
        <v>1252</v>
      </c>
      <c r="F98" s="236">
        <f t="shared" si="64"/>
        <v>27.134807108799308</v>
      </c>
      <c r="G98" s="3">
        <v>316</v>
      </c>
      <c r="H98" s="236">
        <f t="shared" si="65"/>
        <v>6.8487212830515816</v>
      </c>
      <c r="I98" s="3">
        <v>1506</v>
      </c>
      <c r="J98" s="236">
        <f t="shared" si="66"/>
        <v>32.639791937581272</v>
      </c>
      <c r="K98" s="3">
        <v>0</v>
      </c>
      <c r="L98" s="237">
        <f t="shared" si="67"/>
        <v>0</v>
      </c>
      <c r="M98" s="3">
        <v>0</v>
      </c>
      <c r="N98" s="237">
        <f t="shared" si="68"/>
        <v>0</v>
      </c>
      <c r="O98" s="3">
        <v>0</v>
      </c>
      <c r="P98" s="237">
        <f t="shared" si="69"/>
        <v>0</v>
      </c>
      <c r="Q98" s="2">
        <f t="shared" si="70"/>
        <v>3074</v>
      </c>
      <c r="R98" s="455">
        <f t="shared" si="71"/>
        <v>66.623320329432161</v>
      </c>
      <c r="S98" s="2">
        <f t="shared" si="72"/>
        <v>1540</v>
      </c>
      <c r="T98" s="238">
        <f t="shared" si="73"/>
        <v>33.376679670567839</v>
      </c>
      <c r="U98" s="3"/>
      <c r="V98" s="217" t="s">
        <v>507</v>
      </c>
    </row>
    <row r="99" spans="1:22" ht="12.75" customHeight="1" x14ac:dyDescent="0.25">
      <c r="A99" s="469"/>
      <c r="B99" s="3">
        <f t="shared" si="74"/>
        <v>77</v>
      </c>
      <c r="C99" s="2" t="s">
        <v>675</v>
      </c>
      <c r="D99" s="2">
        <v>4713</v>
      </c>
      <c r="E99" s="3">
        <v>2200</v>
      </c>
      <c r="F99" s="236">
        <f t="shared" si="64"/>
        <v>46.679397411415238</v>
      </c>
      <c r="G99" s="3">
        <v>208</v>
      </c>
      <c r="H99" s="236">
        <f t="shared" si="65"/>
        <v>4.413324846170168</v>
      </c>
      <c r="I99" s="3">
        <v>1233</v>
      </c>
      <c r="J99" s="236">
        <f t="shared" si="66"/>
        <v>26.161680458306812</v>
      </c>
      <c r="K99" s="3">
        <v>0</v>
      </c>
      <c r="L99" s="237">
        <f t="shared" si="67"/>
        <v>0</v>
      </c>
      <c r="M99" s="3">
        <v>0</v>
      </c>
      <c r="N99" s="237">
        <f t="shared" si="68"/>
        <v>0</v>
      </c>
      <c r="O99" s="3">
        <v>0</v>
      </c>
      <c r="P99" s="237">
        <f t="shared" si="69"/>
        <v>0</v>
      </c>
      <c r="Q99" s="2">
        <f t="shared" si="70"/>
        <v>3641</v>
      </c>
      <c r="R99" s="455">
        <f t="shared" si="71"/>
        <v>77.254402715892212</v>
      </c>
      <c r="S99" s="2">
        <f t="shared" si="72"/>
        <v>1072</v>
      </c>
      <c r="T99" s="238">
        <f t="shared" si="73"/>
        <v>22.745597284107788</v>
      </c>
      <c r="U99" s="3"/>
      <c r="V99" s="217" t="s">
        <v>507</v>
      </c>
    </row>
    <row r="100" spans="1:22" ht="12.75" customHeight="1" x14ac:dyDescent="0.25">
      <c r="A100" s="469"/>
      <c r="B100" s="3">
        <f t="shared" si="74"/>
        <v>78</v>
      </c>
      <c r="C100" s="2" t="s">
        <v>676</v>
      </c>
      <c r="D100" s="2">
        <v>5240</v>
      </c>
      <c r="E100" s="3">
        <v>1816</v>
      </c>
      <c r="F100" s="236">
        <f t="shared" si="64"/>
        <v>34.656488549618317</v>
      </c>
      <c r="G100" s="3">
        <v>864</v>
      </c>
      <c r="H100" s="236">
        <f t="shared" si="65"/>
        <v>16.488549618320612</v>
      </c>
      <c r="I100" s="3">
        <v>45</v>
      </c>
      <c r="J100" s="236">
        <f t="shared" si="66"/>
        <v>0.85877862595419852</v>
      </c>
      <c r="K100" s="3">
        <v>0</v>
      </c>
      <c r="L100" s="237">
        <f t="shared" si="67"/>
        <v>0</v>
      </c>
      <c r="M100" s="3">
        <v>0</v>
      </c>
      <c r="N100" s="237">
        <f t="shared" si="68"/>
        <v>0</v>
      </c>
      <c r="O100" s="3">
        <v>0</v>
      </c>
      <c r="P100" s="237">
        <f t="shared" si="69"/>
        <v>0</v>
      </c>
      <c r="Q100" s="2">
        <f t="shared" si="70"/>
        <v>2725</v>
      </c>
      <c r="R100" s="455">
        <f t="shared" si="71"/>
        <v>52.003816793893129</v>
      </c>
      <c r="S100" s="2">
        <f t="shared" si="72"/>
        <v>2515</v>
      </c>
      <c r="T100" s="238">
        <f t="shared" si="73"/>
        <v>47.996183206106871</v>
      </c>
      <c r="U100" s="217" t="s">
        <v>507</v>
      </c>
      <c r="V100" s="2"/>
    </row>
    <row r="101" spans="1:22" ht="12.75" customHeight="1" x14ac:dyDescent="0.25">
      <c r="A101" s="469"/>
      <c r="B101" s="3">
        <f t="shared" si="74"/>
        <v>79</v>
      </c>
      <c r="C101" s="2" t="s">
        <v>677</v>
      </c>
      <c r="D101" s="2">
        <v>5961</v>
      </c>
      <c r="E101" s="3">
        <v>588</v>
      </c>
      <c r="F101" s="236">
        <f t="shared" si="64"/>
        <v>9.8641167589330649</v>
      </c>
      <c r="G101" s="3">
        <v>820</v>
      </c>
      <c r="H101" s="236">
        <f t="shared" si="65"/>
        <v>13.756081194430465</v>
      </c>
      <c r="I101" s="3">
        <v>756</v>
      </c>
      <c r="J101" s="236">
        <f t="shared" si="66"/>
        <v>12.68243583291394</v>
      </c>
      <c r="K101" s="3">
        <v>0</v>
      </c>
      <c r="L101" s="237">
        <f t="shared" si="67"/>
        <v>0</v>
      </c>
      <c r="M101" s="3">
        <v>0</v>
      </c>
      <c r="N101" s="237">
        <f t="shared" si="68"/>
        <v>0</v>
      </c>
      <c r="O101" s="3">
        <v>0</v>
      </c>
      <c r="P101" s="237">
        <f t="shared" si="69"/>
        <v>0</v>
      </c>
      <c r="Q101" s="2">
        <f t="shared" si="70"/>
        <v>2164</v>
      </c>
      <c r="R101" s="455">
        <f t="shared" si="71"/>
        <v>36.302633786277468</v>
      </c>
      <c r="S101" s="2">
        <f t="shared" si="72"/>
        <v>3797</v>
      </c>
      <c r="T101" s="238">
        <f t="shared" si="73"/>
        <v>63.697366213722532</v>
      </c>
      <c r="U101" s="217" t="s">
        <v>507</v>
      </c>
      <c r="V101" s="2"/>
    </row>
    <row r="102" spans="1:22" ht="12.75" customHeight="1" x14ac:dyDescent="0.25">
      <c r="A102" s="469"/>
      <c r="B102" s="3">
        <f t="shared" si="74"/>
        <v>80</v>
      </c>
      <c r="C102" s="2" t="s">
        <v>678</v>
      </c>
      <c r="D102" s="2">
        <v>3156</v>
      </c>
      <c r="E102" s="3">
        <v>0</v>
      </c>
      <c r="F102" s="236">
        <f t="shared" si="64"/>
        <v>0</v>
      </c>
      <c r="G102" s="3">
        <v>1904</v>
      </c>
      <c r="H102" s="236">
        <f t="shared" si="65"/>
        <v>60.329531051964516</v>
      </c>
      <c r="I102" s="3">
        <v>1200</v>
      </c>
      <c r="J102" s="236">
        <f t="shared" si="66"/>
        <v>38.022813688212928</v>
      </c>
      <c r="K102" s="3">
        <v>0</v>
      </c>
      <c r="L102" s="237">
        <f t="shared" si="67"/>
        <v>0</v>
      </c>
      <c r="M102" s="3">
        <v>0</v>
      </c>
      <c r="N102" s="237">
        <f t="shared" si="68"/>
        <v>0</v>
      </c>
      <c r="O102" s="3">
        <v>0</v>
      </c>
      <c r="P102" s="237">
        <f t="shared" si="69"/>
        <v>0</v>
      </c>
      <c r="Q102" s="2">
        <f t="shared" si="70"/>
        <v>3104</v>
      </c>
      <c r="R102" s="455">
        <f t="shared" si="71"/>
        <v>98.352344740177443</v>
      </c>
      <c r="S102" s="2">
        <f t="shared" si="72"/>
        <v>52</v>
      </c>
      <c r="T102" s="238">
        <f t="shared" si="73"/>
        <v>1.6476552598225602</v>
      </c>
      <c r="U102" s="217" t="s">
        <v>507</v>
      </c>
      <c r="V102" s="2"/>
    </row>
    <row r="103" spans="1:22" ht="12.75" customHeight="1" x14ac:dyDescent="0.25">
      <c r="A103" s="469"/>
      <c r="B103" s="3">
        <f t="shared" si="74"/>
        <v>81</v>
      </c>
      <c r="C103" s="2" t="s">
        <v>679</v>
      </c>
      <c r="D103" s="2">
        <v>5456</v>
      </c>
      <c r="E103" s="3">
        <v>0</v>
      </c>
      <c r="F103" s="236">
        <f t="shared" si="64"/>
        <v>0</v>
      </c>
      <c r="G103" s="3">
        <v>740</v>
      </c>
      <c r="H103" s="236">
        <f t="shared" si="65"/>
        <v>13.563049853372434</v>
      </c>
      <c r="I103" s="3">
        <v>1512</v>
      </c>
      <c r="J103" s="236">
        <f t="shared" si="66"/>
        <v>27.712609970674485</v>
      </c>
      <c r="K103" s="3">
        <v>0</v>
      </c>
      <c r="L103" s="237">
        <f t="shared" si="67"/>
        <v>0</v>
      </c>
      <c r="M103" s="3">
        <v>0</v>
      </c>
      <c r="N103" s="237">
        <f t="shared" si="68"/>
        <v>0</v>
      </c>
      <c r="O103" s="3">
        <v>0</v>
      </c>
      <c r="P103" s="237">
        <f t="shared" si="69"/>
        <v>0</v>
      </c>
      <c r="Q103" s="2">
        <f t="shared" si="70"/>
        <v>2252</v>
      </c>
      <c r="R103" s="455">
        <f t="shared" si="71"/>
        <v>41.275659824046926</v>
      </c>
      <c r="S103" s="2">
        <f t="shared" si="72"/>
        <v>3204</v>
      </c>
      <c r="T103" s="238">
        <f t="shared" si="73"/>
        <v>58.724340175953081</v>
      </c>
      <c r="U103" s="217" t="s">
        <v>507</v>
      </c>
      <c r="V103" s="2"/>
    </row>
    <row r="104" spans="1:22" ht="12.75" customHeight="1" x14ac:dyDescent="0.25">
      <c r="A104" s="469"/>
      <c r="B104" s="3">
        <f t="shared" si="74"/>
        <v>82</v>
      </c>
      <c r="C104" s="2" t="s">
        <v>680</v>
      </c>
      <c r="D104" s="2">
        <v>1928</v>
      </c>
      <c r="E104" s="3">
        <v>388</v>
      </c>
      <c r="F104" s="236">
        <f t="shared" si="64"/>
        <v>20.124481327800829</v>
      </c>
      <c r="G104" s="3">
        <v>324</v>
      </c>
      <c r="H104" s="236">
        <f t="shared" si="65"/>
        <v>16.804979253112034</v>
      </c>
      <c r="I104" s="3">
        <v>384</v>
      </c>
      <c r="J104" s="236">
        <f t="shared" si="66"/>
        <v>19.91701244813278</v>
      </c>
      <c r="K104" s="3">
        <v>0</v>
      </c>
      <c r="L104" s="237">
        <f t="shared" si="67"/>
        <v>0</v>
      </c>
      <c r="M104" s="3">
        <v>0</v>
      </c>
      <c r="N104" s="237">
        <f t="shared" si="68"/>
        <v>0</v>
      </c>
      <c r="O104" s="3">
        <v>0</v>
      </c>
      <c r="P104" s="237">
        <f t="shared" si="69"/>
        <v>0</v>
      </c>
      <c r="Q104" s="2">
        <f t="shared" si="70"/>
        <v>1096</v>
      </c>
      <c r="R104" s="455">
        <f t="shared" si="71"/>
        <v>56.84647302904564</v>
      </c>
      <c r="S104" s="2">
        <f t="shared" si="72"/>
        <v>832</v>
      </c>
      <c r="T104" s="238">
        <f t="shared" si="73"/>
        <v>43.15352697095436</v>
      </c>
      <c r="U104" s="3"/>
      <c r="V104" s="217" t="s">
        <v>507</v>
      </c>
    </row>
    <row r="105" spans="1:22" ht="12.75" customHeight="1" x14ac:dyDescent="0.25">
      <c r="A105" s="469"/>
      <c r="B105" s="445"/>
      <c r="C105" s="446"/>
      <c r="D105" s="446"/>
      <c r="E105" s="445"/>
      <c r="F105" s="448"/>
      <c r="G105" s="445"/>
      <c r="H105" s="448"/>
      <c r="I105" s="445"/>
      <c r="J105" s="448"/>
      <c r="K105" s="445"/>
      <c r="L105" s="449"/>
      <c r="M105" s="445"/>
      <c r="N105" s="449"/>
      <c r="O105" s="445"/>
      <c r="P105" s="449"/>
      <c r="Q105" s="446"/>
      <c r="R105" s="450">
        <f>(R84+R85+R86+R87+R88+R89+R90+R91+R92+R93+R94+R95+R96+R97+R98+R99+R100+R101+R102+R103+R104)/21</f>
        <v>71.453065668278782</v>
      </c>
      <c r="S105" s="446"/>
      <c r="T105" s="451"/>
      <c r="U105" s="445"/>
      <c r="V105" s="452"/>
    </row>
    <row r="106" spans="1:22" ht="12" customHeight="1" x14ac:dyDescent="0.25">
      <c r="A106" s="469" t="s">
        <v>612</v>
      </c>
      <c r="B106" s="471" t="s">
        <v>23</v>
      </c>
      <c r="C106" s="471"/>
      <c r="D106" s="243">
        <f>SUM(D84:D104)</f>
        <v>101991</v>
      </c>
      <c r="E106" s="225">
        <f>SUM(E84:E104)</f>
        <v>21248</v>
      </c>
      <c r="F106" s="225"/>
      <c r="G106" s="225">
        <f>SUM(G84:G104)</f>
        <v>16060</v>
      </c>
      <c r="H106" s="225"/>
      <c r="I106" s="225">
        <f>SUM(I84:I104)</f>
        <v>35505</v>
      </c>
      <c r="J106" s="239"/>
      <c r="K106" s="225">
        <f>SUM(K84:K104)</f>
        <v>0</v>
      </c>
      <c r="L106" s="225"/>
      <c r="M106" s="225">
        <f>SUM(M84:M104)</f>
        <v>0</v>
      </c>
      <c r="N106" s="98"/>
      <c r="O106" s="225">
        <f>SUM(O84:O104)</f>
        <v>0</v>
      </c>
      <c r="P106" s="98"/>
      <c r="Q106" s="225">
        <f>SUM(Q84:Q104)</f>
        <v>72813</v>
      </c>
      <c r="R106" s="225"/>
      <c r="S106" s="225">
        <f>SUM(S84:S104)</f>
        <v>29178</v>
      </c>
      <c r="T106" s="240"/>
      <c r="U106" s="225"/>
      <c r="V106" s="225"/>
    </row>
    <row r="107" spans="1:22" ht="12.2" customHeight="1" x14ac:dyDescent="0.25">
      <c r="A107" s="469">
        <v>8</v>
      </c>
      <c r="B107" s="470" t="s">
        <v>681</v>
      </c>
      <c r="C107" s="470"/>
      <c r="D107" s="1"/>
      <c r="E107" s="1"/>
      <c r="F107" s="1"/>
      <c r="G107" s="1"/>
      <c r="H107" s="1"/>
      <c r="I107" s="1"/>
      <c r="J107" s="233"/>
      <c r="K107" s="1"/>
      <c r="L107" s="1"/>
      <c r="M107" s="1"/>
      <c r="N107" s="1"/>
      <c r="O107" s="1"/>
      <c r="P107" s="1"/>
      <c r="Q107" s="1"/>
      <c r="R107" s="1"/>
      <c r="S107" s="1"/>
      <c r="T107" s="234"/>
      <c r="U107" s="1"/>
      <c r="V107" s="1"/>
    </row>
    <row r="108" spans="1:22" ht="12.75" customHeight="1" x14ac:dyDescent="0.25">
      <c r="A108" s="469" t="s">
        <v>612</v>
      </c>
      <c r="B108" s="3">
        <f>B104+1</f>
        <v>83</v>
      </c>
      <c r="C108" s="2" t="s">
        <v>682</v>
      </c>
      <c r="D108" s="2">
        <v>3782</v>
      </c>
      <c r="E108" s="3">
        <v>0</v>
      </c>
      <c r="F108" s="236">
        <f t="shared" ref="F108:F122" si="75">E108/D108*100</f>
        <v>0</v>
      </c>
      <c r="G108" s="3">
        <v>300</v>
      </c>
      <c r="H108" s="236">
        <f t="shared" ref="H108:H122" si="76">G108/D108*100</f>
        <v>7.9323109465891068</v>
      </c>
      <c r="I108" s="3">
        <v>2721</v>
      </c>
      <c r="J108" s="236">
        <f t="shared" ref="J108:J122" si="77">I108/D108*100</f>
        <v>71.946060285563192</v>
      </c>
      <c r="K108" s="3">
        <v>6</v>
      </c>
      <c r="L108" s="237">
        <f t="shared" ref="L108:L122" si="78">K108/D108*100</f>
        <v>0.15864621893178213</v>
      </c>
      <c r="M108" s="3">
        <v>0</v>
      </c>
      <c r="N108" s="237">
        <f t="shared" ref="N108:N122" si="79">M108/D108*100</f>
        <v>0</v>
      </c>
      <c r="O108" s="3">
        <v>0</v>
      </c>
      <c r="P108" s="237">
        <f t="shared" ref="P108:P122" si="80">O108/D108*100</f>
        <v>0</v>
      </c>
      <c r="Q108" s="2">
        <f t="shared" ref="Q108:Q122" si="81">E108+G108+I108+K108+M108+O108</f>
        <v>3027</v>
      </c>
      <c r="R108" s="455">
        <f t="shared" ref="R108:R122" si="82">Q108/D108*100</f>
        <v>80.037017451084083</v>
      </c>
      <c r="S108" s="2">
        <f t="shared" ref="S108:S122" si="83">D108-Q108</f>
        <v>755</v>
      </c>
      <c r="T108" s="238">
        <f t="shared" ref="T108:T122" si="84">S108/D108*100</f>
        <v>19.962982548915917</v>
      </c>
      <c r="U108" s="2"/>
      <c r="V108" s="217" t="s">
        <v>507</v>
      </c>
    </row>
    <row r="109" spans="1:22" ht="12.6" customHeight="1" x14ac:dyDescent="0.25">
      <c r="A109" s="469" t="s">
        <v>612</v>
      </c>
      <c r="B109" s="3">
        <f>B108+1</f>
        <v>84</v>
      </c>
      <c r="C109" s="2" t="s">
        <v>683</v>
      </c>
      <c r="D109" s="2">
        <v>4602</v>
      </c>
      <c r="E109" s="3">
        <v>0</v>
      </c>
      <c r="F109" s="236">
        <f t="shared" si="75"/>
        <v>0</v>
      </c>
      <c r="G109" s="3">
        <v>876</v>
      </c>
      <c r="H109" s="236">
        <f t="shared" si="76"/>
        <v>19.035202086049544</v>
      </c>
      <c r="I109" s="3">
        <v>2559</v>
      </c>
      <c r="J109" s="236">
        <f t="shared" si="77"/>
        <v>55.606258148631028</v>
      </c>
      <c r="K109" s="3">
        <v>0</v>
      </c>
      <c r="L109" s="237">
        <f t="shared" si="78"/>
        <v>0</v>
      </c>
      <c r="M109" s="3">
        <v>0</v>
      </c>
      <c r="N109" s="237">
        <f t="shared" si="79"/>
        <v>0</v>
      </c>
      <c r="O109" s="3">
        <v>0</v>
      </c>
      <c r="P109" s="237">
        <f t="shared" si="80"/>
        <v>0</v>
      </c>
      <c r="Q109" s="2">
        <f t="shared" si="81"/>
        <v>3435</v>
      </c>
      <c r="R109" s="455">
        <f t="shared" si="82"/>
        <v>74.641460234680579</v>
      </c>
      <c r="S109" s="2">
        <f t="shared" si="83"/>
        <v>1167</v>
      </c>
      <c r="T109" s="238">
        <f t="shared" si="84"/>
        <v>25.358539765319428</v>
      </c>
      <c r="U109" s="2"/>
      <c r="V109" s="217" t="s">
        <v>507</v>
      </c>
    </row>
    <row r="110" spans="1:22" ht="12.4" customHeight="1" x14ac:dyDescent="0.25">
      <c r="A110" s="469" t="s">
        <v>612</v>
      </c>
      <c r="B110" s="3">
        <f t="shared" ref="B110:B122" si="85">B109+1</f>
        <v>85</v>
      </c>
      <c r="C110" s="2" t="s">
        <v>684</v>
      </c>
      <c r="D110" s="2">
        <v>7861</v>
      </c>
      <c r="E110" s="3">
        <v>0</v>
      </c>
      <c r="F110" s="236">
        <f t="shared" si="75"/>
        <v>0</v>
      </c>
      <c r="G110" s="3">
        <v>772</v>
      </c>
      <c r="H110" s="236">
        <f t="shared" si="76"/>
        <v>9.8206335071873809</v>
      </c>
      <c r="I110" s="3">
        <v>3171</v>
      </c>
      <c r="J110" s="236">
        <f t="shared" si="77"/>
        <v>40.338379341050754</v>
      </c>
      <c r="K110" s="3">
        <v>0</v>
      </c>
      <c r="L110" s="237">
        <f t="shared" si="78"/>
        <v>0</v>
      </c>
      <c r="M110" s="3">
        <v>0</v>
      </c>
      <c r="N110" s="237">
        <f t="shared" si="79"/>
        <v>0</v>
      </c>
      <c r="O110" s="3">
        <v>0</v>
      </c>
      <c r="P110" s="237">
        <f t="shared" si="80"/>
        <v>0</v>
      </c>
      <c r="Q110" s="2">
        <f t="shared" si="81"/>
        <v>3943</v>
      </c>
      <c r="R110" s="455">
        <f t="shared" si="82"/>
        <v>50.159012848238135</v>
      </c>
      <c r="S110" s="2">
        <f t="shared" si="83"/>
        <v>3918</v>
      </c>
      <c r="T110" s="238">
        <f t="shared" si="84"/>
        <v>49.840987151761865</v>
      </c>
      <c r="U110" s="2"/>
      <c r="V110" s="217" t="s">
        <v>507</v>
      </c>
    </row>
    <row r="111" spans="1:22" ht="12.6" customHeight="1" x14ac:dyDescent="0.25">
      <c r="A111" s="469" t="s">
        <v>612</v>
      </c>
      <c r="B111" s="3">
        <f t="shared" si="85"/>
        <v>86</v>
      </c>
      <c r="C111" s="2" t="s">
        <v>685</v>
      </c>
      <c r="D111" s="2">
        <v>9685</v>
      </c>
      <c r="E111" s="3">
        <v>0</v>
      </c>
      <c r="F111" s="236">
        <f t="shared" si="75"/>
        <v>0</v>
      </c>
      <c r="G111" s="3">
        <v>520</v>
      </c>
      <c r="H111" s="236">
        <f t="shared" si="76"/>
        <v>5.3691275167785237</v>
      </c>
      <c r="I111" s="3">
        <v>2868</v>
      </c>
      <c r="J111" s="236">
        <f t="shared" si="77"/>
        <v>29.612803304078472</v>
      </c>
      <c r="K111" s="3">
        <v>0</v>
      </c>
      <c r="L111" s="237">
        <f t="shared" si="78"/>
        <v>0</v>
      </c>
      <c r="M111" s="3">
        <v>0</v>
      </c>
      <c r="N111" s="237">
        <f t="shared" si="79"/>
        <v>0</v>
      </c>
      <c r="O111" s="3">
        <v>0</v>
      </c>
      <c r="P111" s="237">
        <f t="shared" si="80"/>
        <v>0</v>
      </c>
      <c r="Q111" s="2">
        <f t="shared" si="81"/>
        <v>3388</v>
      </c>
      <c r="R111" s="455">
        <f t="shared" si="82"/>
        <v>34.981930820856995</v>
      </c>
      <c r="S111" s="2">
        <f t="shared" si="83"/>
        <v>6297</v>
      </c>
      <c r="T111" s="238">
        <f t="shared" si="84"/>
        <v>65.018069179142998</v>
      </c>
      <c r="U111" s="217" t="s">
        <v>507</v>
      </c>
      <c r="V111" s="2"/>
    </row>
    <row r="112" spans="1:22" ht="12.6" customHeight="1" x14ac:dyDescent="0.25">
      <c r="A112" s="469" t="s">
        <v>612</v>
      </c>
      <c r="B112" s="3">
        <f t="shared" si="85"/>
        <v>87</v>
      </c>
      <c r="C112" s="2" t="s">
        <v>686</v>
      </c>
      <c r="D112" s="2">
        <v>7684</v>
      </c>
      <c r="E112" s="3">
        <v>0</v>
      </c>
      <c r="F112" s="236">
        <f t="shared" si="75"/>
        <v>0</v>
      </c>
      <c r="G112" s="3">
        <v>1068</v>
      </c>
      <c r="H112" s="236">
        <f t="shared" si="76"/>
        <v>13.899010931806352</v>
      </c>
      <c r="I112" s="3">
        <v>447</v>
      </c>
      <c r="J112" s="236">
        <f t="shared" si="77"/>
        <v>5.8172826652785012</v>
      </c>
      <c r="K112" s="3">
        <v>6</v>
      </c>
      <c r="L112" s="237">
        <f t="shared" si="78"/>
        <v>7.8084331077563768E-2</v>
      </c>
      <c r="M112" s="3">
        <v>0</v>
      </c>
      <c r="N112" s="237">
        <f t="shared" si="79"/>
        <v>0</v>
      </c>
      <c r="O112" s="3">
        <v>0</v>
      </c>
      <c r="P112" s="237">
        <f t="shared" si="80"/>
        <v>0</v>
      </c>
      <c r="Q112" s="2">
        <f t="shared" si="81"/>
        <v>1521</v>
      </c>
      <c r="R112" s="455">
        <f t="shared" si="82"/>
        <v>19.794377928162415</v>
      </c>
      <c r="S112" s="2">
        <f t="shared" si="83"/>
        <v>6163</v>
      </c>
      <c r="T112" s="238">
        <f t="shared" si="84"/>
        <v>80.205622071837595</v>
      </c>
      <c r="U112" s="3"/>
      <c r="V112" s="217" t="s">
        <v>507</v>
      </c>
    </row>
    <row r="113" spans="1:22" ht="12.4" customHeight="1" x14ac:dyDescent="0.25">
      <c r="A113" s="469" t="s">
        <v>612</v>
      </c>
      <c r="B113" s="3">
        <f t="shared" si="85"/>
        <v>88</v>
      </c>
      <c r="C113" s="2" t="s">
        <v>687</v>
      </c>
      <c r="D113" s="2">
        <v>6520</v>
      </c>
      <c r="E113" s="3">
        <v>3108</v>
      </c>
      <c r="F113" s="236">
        <f t="shared" si="75"/>
        <v>47.668711656441722</v>
      </c>
      <c r="G113" s="3">
        <v>1524</v>
      </c>
      <c r="H113" s="236">
        <f t="shared" si="76"/>
        <v>23.374233128834359</v>
      </c>
      <c r="I113" s="3">
        <v>255</v>
      </c>
      <c r="J113" s="236">
        <f t="shared" si="77"/>
        <v>3.9110429447852764</v>
      </c>
      <c r="K113" s="3">
        <v>4</v>
      </c>
      <c r="L113" s="237">
        <f t="shared" si="78"/>
        <v>6.1349693251533749E-2</v>
      </c>
      <c r="M113" s="3">
        <v>0</v>
      </c>
      <c r="N113" s="237">
        <f t="shared" si="79"/>
        <v>0</v>
      </c>
      <c r="O113" s="3">
        <v>0</v>
      </c>
      <c r="P113" s="237">
        <f t="shared" si="80"/>
        <v>0</v>
      </c>
      <c r="Q113" s="2">
        <f t="shared" si="81"/>
        <v>4891</v>
      </c>
      <c r="R113" s="455">
        <f t="shared" si="82"/>
        <v>75.015337423312886</v>
      </c>
      <c r="S113" s="2">
        <f t="shared" si="83"/>
        <v>1629</v>
      </c>
      <c r="T113" s="238">
        <f t="shared" si="84"/>
        <v>24.984662576687118</v>
      </c>
      <c r="U113" s="217" t="s">
        <v>507</v>
      </c>
      <c r="V113" s="2"/>
    </row>
    <row r="114" spans="1:22" ht="12.4" customHeight="1" x14ac:dyDescent="0.25">
      <c r="A114" s="469" t="s">
        <v>612</v>
      </c>
      <c r="B114" s="3">
        <f t="shared" si="85"/>
        <v>89</v>
      </c>
      <c r="C114" s="2" t="s">
        <v>688</v>
      </c>
      <c r="D114" s="2">
        <v>6120</v>
      </c>
      <c r="E114" s="3">
        <v>12</v>
      </c>
      <c r="F114" s="236">
        <f t="shared" si="75"/>
        <v>0.19607843137254902</v>
      </c>
      <c r="G114" s="3">
        <v>520</v>
      </c>
      <c r="H114" s="236">
        <f t="shared" si="76"/>
        <v>8.4967320261437909</v>
      </c>
      <c r="I114" s="3">
        <v>3036</v>
      </c>
      <c r="J114" s="236">
        <f t="shared" si="77"/>
        <v>49.607843137254903</v>
      </c>
      <c r="K114" s="3">
        <v>0</v>
      </c>
      <c r="L114" s="237">
        <f t="shared" si="78"/>
        <v>0</v>
      </c>
      <c r="M114" s="3">
        <v>0</v>
      </c>
      <c r="N114" s="237">
        <f t="shared" si="79"/>
        <v>0</v>
      </c>
      <c r="O114" s="3">
        <v>0</v>
      </c>
      <c r="P114" s="237">
        <f t="shared" si="80"/>
        <v>0</v>
      </c>
      <c r="Q114" s="2">
        <f t="shared" si="81"/>
        <v>3568</v>
      </c>
      <c r="R114" s="455">
        <f t="shared" si="82"/>
        <v>58.300653594771248</v>
      </c>
      <c r="S114" s="2">
        <f t="shared" si="83"/>
        <v>2552</v>
      </c>
      <c r="T114" s="238">
        <f t="shared" si="84"/>
        <v>41.699346405228759</v>
      </c>
      <c r="U114" s="217" t="s">
        <v>507</v>
      </c>
      <c r="V114" s="2"/>
    </row>
    <row r="115" spans="1:22" ht="12.6" customHeight="1" x14ac:dyDescent="0.25">
      <c r="A115" s="469" t="s">
        <v>612</v>
      </c>
      <c r="B115" s="3">
        <f t="shared" si="85"/>
        <v>90</v>
      </c>
      <c r="C115" s="2" t="s">
        <v>689</v>
      </c>
      <c r="D115" s="2">
        <v>4959</v>
      </c>
      <c r="E115" s="3">
        <v>2604</v>
      </c>
      <c r="F115" s="236">
        <f t="shared" si="75"/>
        <v>52.51058681185723</v>
      </c>
      <c r="G115" s="3">
        <v>888</v>
      </c>
      <c r="H115" s="236">
        <f t="shared" si="76"/>
        <v>17.906836055656385</v>
      </c>
      <c r="I115" s="3">
        <v>486</v>
      </c>
      <c r="J115" s="236">
        <f t="shared" si="77"/>
        <v>9.8003629764065341</v>
      </c>
      <c r="K115" s="3">
        <v>0</v>
      </c>
      <c r="L115" s="237">
        <f t="shared" si="78"/>
        <v>0</v>
      </c>
      <c r="M115" s="3">
        <v>0</v>
      </c>
      <c r="N115" s="237">
        <f t="shared" si="79"/>
        <v>0</v>
      </c>
      <c r="O115" s="3">
        <v>0</v>
      </c>
      <c r="P115" s="237">
        <f t="shared" si="80"/>
        <v>0</v>
      </c>
      <c r="Q115" s="2">
        <f t="shared" si="81"/>
        <v>3978</v>
      </c>
      <c r="R115" s="455">
        <f t="shared" si="82"/>
        <v>80.21778584392014</v>
      </c>
      <c r="S115" s="2">
        <f t="shared" si="83"/>
        <v>981</v>
      </c>
      <c r="T115" s="238">
        <f t="shared" si="84"/>
        <v>19.782214156079856</v>
      </c>
      <c r="U115" s="217" t="s">
        <v>507</v>
      </c>
      <c r="V115" s="2"/>
    </row>
    <row r="116" spans="1:22" ht="12.4" customHeight="1" x14ac:dyDescent="0.25">
      <c r="A116" s="469" t="s">
        <v>612</v>
      </c>
      <c r="B116" s="3">
        <f t="shared" si="85"/>
        <v>91</v>
      </c>
      <c r="C116" s="2" t="s">
        <v>690</v>
      </c>
      <c r="D116" s="2">
        <v>5384</v>
      </c>
      <c r="E116" s="3">
        <v>84</v>
      </c>
      <c r="F116" s="236">
        <f t="shared" si="75"/>
        <v>1.5601783060921248</v>
      </c>
      <c r="G116" s="3">
        <v>552</v>
      </c>
      <c r="H116" s="236">
        <f t="shared" si="76"/>
        <v>10.252600297176819</v>
      </c>
      <c r="I116" s="3">
        <v>1776</v>
      </c>
      <c r="J116" s="236">
        <f t="shared" si="77"/>
        <v>32.986627043090635</v>
      </c>
      <c r="K116" s="3">
        <v>0</v>
      </c>
      <c r="L116" s="237">
        <f t="shared" si="78"/>
        <v>0</v>
      </c>
      <c r="M116" s="3">
        <v>0</v>
      </c>
      <c r="N116" s="237">
        <f t="shared" si="79"/>
        <v>0</v>
      </c>
      <c r="O116" s="3">
        <v>0</v>
      </c>
      <c r="P116" s="237">
        <f t="shared" si="80"/>
        <v>0</v>
      </c>
      <c r="Q116" s="2">
        <f t="shared" si="81"/>
        <v>2412</v>
      </c>
      <c r="R116" s="455">
        <f t="shared" si="82"/>
        <v>44.799405646359588</v>
      </c>
      <c r="S116" s="2">
        <f t="shared" si="83"/>
        <v>2972</v>
      </c>
      <c r="T116" s="238">
        <f t="shared" si="84"/>
        <v>55.200594353640419</v>
      </c>
      <c r="U116" s="3"/>
      <c r="V116" s="217" t="s">
        <v>507</v>
      </c>
    </row>
    <row r="117" spans="1:22" ht="12.75" customHeight="1" x14ac:dyDescent="0.25">
      <c r="A117" s="469" t="s">
        <v>612</v>
      </c>
      <c r="B117" s="3">
        <f t="shared" si="85"/>
        <v>92</v>
      </c>
      <c r="C117" s="2" t="s">
        <v>691</v>
      </c>
      <c r="D117" s="2">
        <v>5690</v>
      </c>
      <c r="E117" s="3">
        <v>0</v>
      </c>
      <c r="F117" s="236">
        <f t="shared" si="75"/>
        <v>0</v>
      </c>
      <c r="G117" s="3">
        <v>952</v>
      </c>
      <c r="H117" s="236">
        <f t="shared" si="76"/>
        <v>16.731107205623903</v>
      </c>
      <c r="I117" s="3">
        <v>66</v>
      </c>
      <c r="J117" s="236">
        <f t="shared" si="77"/>
        <v>1.1599297012302283</v>
      </c>
      <c r="K117" s="3">
        <v>0</v>
      </c>
      <c r="L117" s="237">
        <f t="shared" si="78"/>
        <v>0</v>
      </c>
      <c r="M117" s="3">
        <v>0</v>
      </c>
      <c r="N117" s="237">
        <f t="shared" si="79"/>
        <v>0</v>
      </c>
      <c r="O117" s="3">
        <v>0</v>
      </c>
      <c r="P117" s="237">
        <f t="shared" si="80"/>
        <v>0</v>
      </c>
      <c r="Q117" s="2">
        <f t="shared" si="81"/>
        <v>1018</v>
      </c>
      <c r="R117" s="455">
        <f t="shared" si="82"/>
        <v>17.891036906854129</v>
      </c>
      <c r="S117" s="2">
        <f t="shared" si="83"/>
        <v>4672</v>
      </c>
      <c r="T117" s="238">
        <f t="shared" si="84"/>
        <v>82.108963093145874</v>
      </c>
      <c r="U117" s="3"/>
      <c r="V117" s="217" t="s">
        <v>507</v>
      </c>
    </row>
    <row r="118" spans="1:22" ht="12.75" customHeight="1" x14ac:dyDescent="0.25">
      <c r="A118" s="469"/>
      <c r="B118" s="3">
        <f t="shared" si="85"/>
        <v>93</v>
      </c>
      <c r="C118" s="2" t="s">
        <v>692</v>
      </c>
      <c r="D118" s="2">
        <v>3268</v>
      </c>
      <c r="E118" s="3">
        <v>400</v>
      </c>
      <c r="F118" s="236">
        <f t="shared" si="75"/>
        <v>12.239902080783354</v>
      </c>
      <c r="G118" s="3">
        <v>384</v>
      </c>
      <c r="H118" s="236">
        <f t="shared" si="76"/>
        <v>11.750305997552021</v>
      </c>
      <c r="I118" s="3">
        <v>0</v>
      </c>
      <c r="J118" s="236">
        <f t="shared" si="77"/>
        <v>0</v>
      </c>
      <c r="K118" s="3">
        <v>0</v>
      </c>
      <c r="L118" s="237">
        <f t="shared" si="78"/>
        <v>0</v>
      </c>
      <c r="M118" s="3">
        <v>0</v>
      </c>
      <c r="N118" s="237">
        <f t="shared" si="79"/>
        <v>0</v>
      </c>
      <c r="O118" s="3">
        <v>0</v>
      </c>
      <c r="P118" s="237">
        <f t="shared" si="80"/>
        <v>0</v>
      </c>
      <c r="Q118" s="2">
        <f t="shared" si="81"/>
        <v>784</v>
      </c>
      <c r="R118" s="455">
        <f t="shared" si="82"/>
        <v>23.990208078335375</v>
      </c>
      <c r="S118" s="2">
        <f t="shared" si="83"/>
        <v>2484</v>
      </c>
      <c r="T118" s="238">
        <f t="shared" si="84"/>
        <v>76.009791921664629</v>
      </c>
      <c r="U118" s="217" t="s">
        <v>507</v>
      </c>
      <c r="V118" s="2"/>
    </row>
    <row r="119" spans="1:22" ht="12.75" customHeight="1" x14ac:dyDescent="0.25">
      <c r="A119" s="469"/>
      <c r="B119" s="3">
        <f t="shared" si="85"/>
        <v>94</v>
      </c>
      <c r="C119" s="2" t="s">
        <v>693</v>
      </c>
      <c r="D119" s="2">
        <v>3418</v>
      </c>
      <c r="E119" s="3">
        <v>0</v>
      </c>
      <c r="F119" s="236">
        <f t="shared" si="75"/>
        <v>0</v>
      </c>
      <c r="G119" s="3">
        <v>1284</v>
      </c>
      <c r="H119" s="236">
        <f t="shared" si="76"/>
        <v>37.565827969572851</v>
      </c>
      <c r="I119" s="3">
        <v>1923</v>
      </c>
      <c r="J119" s="236">
        <f t="shared" si="77"/>
        <v>56.260971328262144</v>
      </c>
      <c r="K119" s="3">
        <v>0</v>
      </c>
      <c r="L119" s="237">
        <f t="shared" si="78"/>
        <v>0</v>
      </c>
      <c r="M119" s="3">
        <v>0</v>
      </c>
      <c r="N119" s="237">
        <f t="shared" si="79"/>
        <v>0</v>
      </c>
      <c r="O119" s="3">
        <v>0</v>
      </c>
      <c r="P119" s="237">
        <f t="shared" si="80"/>
        <v>0</v>
      </c>
      <c r="Q119" s="2">
        <f t="shared" si="81"/>
        <v>3207</v>
      </c>
      <c r="R119" s="455">
        <f t="shared" si="82"/>
        <v>93.826799297834995</v>
      </c>
      <c r="S119" s="2">
        <f t="shared" si="83"/>
        <v>211</v>
      </c>
      <c r="T119" s="238">
        <f t="shared" si="84"/>
        <v>6.1732007021650093</v>
      </c>
      <c r="U119" s="3"/>
      <c r="V119" s="217" t="s">
        <v>507</v>
      </c>
    </row>
    <row r="120" spans="1:22" ht="12.75" customHeight="1" x14ac:dyDescent="0.25">
      <c r="A120" s="469"/>
      <c r="B120" s="3">
        <f t="shared" si="85"/>
        <v>95</v>
      </c>
      <c r="C120" s="2" t="s">
        <v>694</v>
      </c>
      <c r="D120" s="2">
        <v>2108</v>
      </c>
      <c r="E120" s="3">
        <v>0</v>
      </c>
      <c r="F120" s="236">
        <f t="shared" si="75"/>
        <v>0</v>
      </c>
      <c r="G120" s="3">
        <v>420</v>
      </c>
      <c r="H120" s="236">
        <f t="shared" si="76"/>
        <v>19.924098671726757</v>
      </c>
      <c r="I120" s="3">
        <v>1266</v>
      </c>
      <c r="J120" s="236">
        <f t="shared" si="77"/>
        <v>60.056925996204939</v>
      </c>
      <c r="K120" s="3">
        <v>0</v>
      </c>
      <c r="L120" s="237">
        <f t="shared" si="78"/>
        <v>0</v>
      </c>
      <c r="M120" s="3">
        <v>0</v>
      </c>
      <c r="N120" s="237">
        <f t="shared" si="79"/>
        <v>0</v>
      </c>
      <c r="O120" s="3">
        <v>0</v>
      </c>
      <c r="P120" s="237">
        <f t="shared" si="80"/>
        <v>0</v>
      </c>
      <c r="Q120" s="2">
        <f t="shared" si="81"/>
        <v>1686</v>
      </c>
      <c r="R120" s="455">
        <f t="shared" si="82"/>
        <v>79.981024667931692</v>
      </c>
      <c r="S120" s="2">
        <f t="shared" si="83"/>
        <v>422</v>
      </c>
      <c r="T120" s="238">
        <f t="shared" si="84"/>
        <v>20.018975332068312</v>
      </c>
      <c r="U120" s="3"/>
      <c r="V120" s="217" t="s">
        <v>507</v>
      </c>
    </row>
    <row r="121" spans="1:22" ht="12.75" customHeight="1" x14ac:dyDescent="0.25">
      <c r="A121" s="469"/>
      <c r="B121" s="3">
        <f t="shared" si="85"/>
        <v>96</v>
      </c>
      <c r="C121" s="2" t="s">
        <v>695</v>
      </c>
      <c r="D121" s="2">
        <v>2052</v>
      </c>
      <c r="E121" s="3">
        <v>0</v>
      </c>
      <c r="F121" s="236">
        <f t="shared" si="75"/>
        <v>0</v>
      </c>
      <c r="G121" s="3">
        <v>1600</v>
      </c>
      <c r="H121" s="236">
        <f t="shared" si="76"/>
        <v>77.972709551656919</v>
      </c>
      <c r="I121" s="3">
        <v>339</v>
      </c>
      <c r="J121" s="236">
        <f t="shared" si="77"/>
        <v>16.520467836257311</v>
      </c>
      <c r="K121" s="3">
        <v>0</v>
      </c>
      <c r="L121" s="237">
        <f t="shared" si="78"/>
        <v>0</v>
      </c>
      <c r="M121" s="3">
        <v>0</v>
      </c>
      <c r="N121" s="237">
        <f t="shared" si="79"/>
        <v>0</v>
      </c>
      <c r="O121" s="3">
        <v>0</v>
      </c>
      <c r="P121" s="237">
        <f t="shared" si="80"/>
        <v>0</v>
      </c>
      <c r="Q121" s="2">
        <f t="shared" si="81"/>
        <v>1939</v>
      </c>
      <c r="R121" s="455">
        <f t="shared" si="82"/>
        <v>94.49317738791423</v>
      </c>
      <c r="S121" s="2">
        <f t="shared" si="83"/>
        <v>113</v>
      </c>
      <c r="T121" s="238">
        <f t="shared" si="84"/>
        <v>5.5068226120857693</v>
      </c>
      <c r="U121" s="217" t="s">
        <v>507</v>
      </c>
      <c r="V121" s="2"/>
    </row>
    <row r="122" spans="1:22" ht="12.75" customHeight="1" x14ac:dyDescent="0.25">
      <c r="A122" s="469"/>
      <c r="B122" s="3">
        <f t="shared" si="85"/>
        <v>97</v>
      </c>
      <c r="C122" s="2" t="s">
        <v>696</v>
      </c>
      <c r="D122" s="2">
        <v>3258</v>
      </c>
      <c r="E122" s="3">
        <v>0</v>
      </c>
      <c r="F122" s="236">
        <f t="shared" si="75"/>
        <v>0</v>
      </c>
      <c r="G122" s="3">
        <v>0</v>
      </c>
      <c r="H122" s="236">
        <f t="shared" si="76"/>
        <v>0</v>
      </c>
      <c r="I122" s="3">
        <v>639</v>
      </c>
      <c r="J122" s="236">
        <f t="shared" si="77"/>
        <v>19.613259668508288</v>
      </c>
      <c r="K122" s="3">
        <v>0</v>
      </c>
      <c r="L122" s="237">
        <f t="shared" si="78"/>
        <v>0</v>
      </c>
      <c r="M122" s="3">
        <v>0</v>
      </c>
      <c r="N122" s="237">
        <f t="shared" si="79"/>
        <v>0</v>
      </c>
      <c r="O122" s="3">
        <v>0</v>
      </c>
      <c r="P122" s="237">
        <f t="shared" si="80"/>
        <v>0</v>
      </c>
      <c r="Q122" s="2">
        <f t="shared" si="81"/>
        <v>639</v>
      </c>
      <c r="R122" s="455">
        <f t="shared" si="82"/>
        <v>19.613259668508288</v>
      </c>
      <c r="S122" s="2">
        <f t="shared" si="83"/>
        <v>2619</v>
      </c>
      <c r="T122" s="238">
        <f t="shared" si="84"/>
        <v>80.386740331491708</v>
      </c>
      <c r="U122" s="3"/>
      <c r="V122" s="217" t="s">
        <v>507</v>
      </c>
    </row>
    <row r="123" spans="1:22" ht="12.75" customHeight="1" x14ac:dyDescent="0.25">
      <c r="A123" s="469"/>
      <c r="B123" s="445"/>
      <c r="C123" s="446"/>
      <c r="D123" s="446"/>
      <c r="E123" s="445"/>
      <c r="F123" s="448"/>
      <c r="G123" s="445"/>
      <c r="H123" s="448"/>
      <c r="I123" s="445"/>
      <c r="J123" s="448"/>
      <c r="K123" s="445"/>
      <c r="L123" s="449"/>
      <c r="M123" s="445"/>
      <c r="N123" s="449"/>
      <c r="O123" s="445"/>
      <c r="P123" s="449"/>
      <c r="Q123" s="446"/>
      <c r="R123" s="450">
        <f>(R108+R109+R110+R111+R112+R113+R114+R115+R116+R117+R118+R119+R120+R121+R122)/15</f>
        <v>56.516165853250982</v>
      </c>
      <c r="S123" s="446"/>
      <c r="T123" s="451"/>
      <c r="U123" s="445"/>
      <c r="V123" s="452"/>
    </row>
    <row r="124" spans="1:22" ht="12" customHeight="1" x14ac:dyDescent="0.25">
      <c r="A124" s="469" t="s">
        <v>612</v>
      </c>
      <c r="B124" s="471" t="s">
        <v>23</v>
      </c>
      <c r="C124" s="471"/>
      <c r="D124" s="243">
        <f>SUM(D108:D122)</f>
        <v>76391</v>
      </c>
      <c r="E124" s="225">
        <f>SUM(E108:E122)</f>
        <v>6208</v>
      </c>
      <c r="F124" s="225"/>
      <c r="G124" s="225">
        <f>SUM(G108:G122)</f>
        <v>11660</v>
      </c>
      <c r="H124" s="225"/>
      <c r="I124" s="225">
        <f>SUM(I108:I122)</f>
        <v>21552</v>
      </c>
      <c r="J124" s="239"/>
      <c r="K124" s="225">
        <f>SUM(K108:K122)</f>
        <v>16</v>
      </c>
      <c r="L124" s="225"/>
      <c r="M124" s="225">
        <f>SUM(M108:M122)</f>
        <v>0</v>
      </c>
      <c r="N124" s="98"/>
      <c r="O124" s="225">
        <f>SUM(O108:O122)</f>
        <v>0</v>
      </c>
      <c r="P124" s="98"/>
      <c r="Q124" s="225">
        <f>SUM(Q108:Q122)</f>
        <v>39436</v>
      </c>
      <c r="R124" s="225"/>
      <c r="S124" s="225">
        <f>SUM(S108:S122)</f>
        <v>36955</v>
      </c>
      <c r="T124" s="240"/>
      <c r="U124" s="225"/>
      <c r="V124" s="225"/>
    </row>
    <row r="125" spans="1:22" ht="12.2" customHeight="1" x14ac:dyDescent="0.25">
      <c r="A125" s="469">
        <v>9</v>
      </c>
      <c r="B125" s="470" t="s">
        <v>697</v>
      </c>
      <c r="C125" s="470"/>
      <c r="D125" s="1"/>
      <c r="E125" s="1"/>
      <c r="F125" s="1"/>
      <c r="G125" s="1"/>
      <c r="H125" s="1"/>
      <c r="I125" s="1"/>
      <c r="J125" s="233"/>
      <c r="K125" s="1"/>
      <c r="L125" s="1"/>
      <c r="M125" s="1"/>
      <c r="N125" s="1"/>
      <c r="O125" s="1"/>
      <c r="P125" s="1"/>
      <c r="Q125" s="1"/>
      <c r="R125" s="1"/>
      <c r="S125" s="1"/>
      <c r="T125" s="234"/>
      <c r="U125" s="1"/>
      <c r="V125" s="1"/>
    </row>
    <row r="126" spans="1:22" ht="12.75" customHeight="1" x14ac:dyDescent="0.25">
      <c r="A126" s="469" t="s">
        <v>612</v>
      </c>
      <c r="B126" s="3">
        <f>B122+1</f>
        <v>98</v>
      </c>
      <c r="C126" s="2" t="s">
        <v>698</v>
      </c>
      <c r="D126" s="2">
        <v>8343</v>
      </c>
      <c r="E126" s="3">
        <v>3576</v>
      </c>
      <c r="F126" s="236">
        <f t="shared" ref="F126:F141" si="86">E126/D126*100</f>
        <v>42.862279755483641</v>
      </c>
      <c r="G126" s="3">
        <v>0</v>
      </c>
      <c r="H126" s="236">
        <f t="shared" ref="H126:H141" si="87">G126/D126*100</f>
        <v>0</v>
      </c>
      <c r="I126" s="3">
        <v>3576</v>
      </c>
      <c r="J126" s="236">
        <f t="shared" ref="J126:J141" si="88">I126/D126*100</f>
        <v>42.862279755483641</v>
      </c>
      <c r="K126" s="3">
        <v>0</v>
      </c>
      <c r="L126" s="237">
        <f t="shared" ref="L126:L141" si="89">K126/D126*100</f>
        <v>0</v>
      </c>
      <c r="M126" s="3">
        <v>0</v>
      </c>
      <c r="N126" s="237">
        <f t="shared" ref="N126:N141" si="90">M126/D126*100</f>
        <v>0</v>
      </c>
      <c r="O126" s="3">
        <v>0</v>
      </c>
      <c r="P126" s="237">
        <f t="shared" ref="P126:P141" si="91">O126/D126*100</f>
        <v>0</v>
      </c>
      <c r="Q126" s="2">
        <f t="shared" ref="Q126:Q141" si="92">E126+G126+I126+K126+M126+O126</f>
        <v>7152</v>
      </c>
      <c r="R126" s="455">
        <f t="shared" ref="R126:R141" si="93">Q126/D126*100</f>
        <v>85.724559510967282</v>
      </c>
      <c r="S126" s="2">
        <f t="shared" ref="S126:S141" si="94">D126-Q126</f>
        <v>1191</v>
      </c>
      <c r="T126" s="238">
        <f t="shared" ref="T126:T141" si="95">S126/D126*100</f>
        <v>14.275440489032723</v>
      </c>
      <c r="U126" s="2"/>
      <c r="V126" s="217" t="s">
        <v>507</v>
      </c>
    </row>
    <row r="127" spans="1:22" ht="12.6" customHeight="1" x14ac:dyDescent="0.25">
      <c r="A127" s="469" t="s">
        <v>612</v>
      </c>
      <c r="B127" s="3">
        <f>B126+1</f>
        <v>99</v>
      </c>
      <c r="C127" s="2" t="s">
        <v>699</v>
      </c>
      <c r="D127" s="2">
        <v>13355</v>
      </c>
      <c r="E127" s="3">
        <v>1800</v>
      </c>
      <c r="F127" s="236">
        <f t="shared" si="86"/>
        <v>13.478098090602769</v>
      </c>
      <c r="G127" s="3">
        <v>0</v>
      </c>
      <c r="H127" s="236">
        <f t="shared" si="87"/>
        <v>0</v>
      </c>
      <c r="I127" s="3">
        <v>8352</v>
      </c>
      <c r="J127" s="236">
        <f t="shared" si="88"/>
        <v>62.538375140396852</v>
      </c>
      <c r="K127" s="3">
        <v>0</v>
      </c>
      <c r="L127" s="237">
        <f t="shared" si="89"/>
        <v>0</v>
      </c>
      <c r="M127" s="3">
        <v>0</v>
      </c>
      <c r="N127" s="237">
        <f t="shared" si="90"/>
        <v>0</v>
      </c>
      <c r="O127" s="3">
        <v>0</v>
      </c>
      <c r="P127" s="237">
        <f t="shared" si="91"/>
        <v>0</v>
      </c>
      <c r="Q127" s="2">
        <f t="shared" si="92"/>
        <v>10152</v>
      </c>
      <c r="R127" s="455">
        <f t="shared" si="93"/>
        <v>76.016473230999623</v>
      </c>
      <c r="S127" s="2">
        <f t="shared" si="94"/>
        <v>3203</v>
      </c>
      <c r="T127" s="238">
        <f t="shared" si="95"/>
        <v>23.983526769000374</v>
      </c>
      <c r="U127" s="2"/>
      <c r="V127" s="217" t="s">
        <v>507</v>
      </c>
    </row>
    <row r="128" spans="1:22" ht="12.4" customHeight="1" x14ac:dyDescent="0.25">
      <c r="A128" s="469" t="s">
        <v>612</v>
      </c>
      <c r="B128" s="3">
        <f t="shared" ref="B128:B141" si="96">B127+1</f>
        <v>100</v>
      </c>
      <c r="C128" s="2" t="s">
        <v>700</v>
      </c>
      <c r="D128" s="2">
        <v>9575</v>
      </c>
      <c r="E128" s="3">
        <v>3340</v>
      </c>
      <c r="F128" s="236">
        <f t="shared" si="86"/>
        <v>34.882506527415138</v>
      </c>
      <c r="G128" s="3">
        <v>396</v>
      </c>
      <c r="H128" s="236">
        <f t="shared" si="87"/>
        <v>4.1357702349869445</v>
      </c>
      <c r="I128" s="3">
        <v>4068</v>
      </c>
      <c r="J128" s="236">
        <f t="shared" si="88"/>
        <v>42.485639686684074</v>
      </c>
      <c r="K128" s="3">
        <v>0</v>
      </c>
      <c r="L128" s="237">
        <f t="shared" si="89"/>
        <v>0</v>
      </c>
      <c r="M128" s="3">
        <v>0</v>
      </c>
      <c r="N128" s="237">
        <f t="shared" si="90"/>
        <v>0</v>
      </c>
      <c r="O128" s="3">
        <v>0</v>
      </c>
      <c r="P128" s="237">
        <f t="shared" si="91"/>
        <v>0</v>
      </c>
      <c r="Q128" s="2">
        <f t="shared" si="92"/>
        <v>7804</v>
      </c>
      <c r="R128" s="455">
        <f t="shared" si="93"/>
        <v>81.503916449086162</v>
      </c>
      <c r="S128" s="2">
        <f t="shared" si="94"/>
        <v>1771</v>
      </c>
      <c r="T128" s="238">
        <f t="shared" si="95"/>
        <v>18.496083550913838</v>
      </c>
      <c r="U128" s="2"/>
      <c r="V128" s="217" t="s">
        <v>507</v>
      </c>
    </row>
    <row r="129" spans="1:22" ht="12.6" customHeight="1" x14ac:dyDescent="0.25">
      <c r="A129" s="469" t="s">
        <v>612</v>
      </c>
      <c r="B129" s="3">
        <f t="shared" si="96"/>
        <v>101</v>
      </c>
      <c r="C129" s="2" t="s">
        <v>701</v>
      </c>
      <c r="D129" s="2">
        <v>4814</v>
      </c>
      <c r="E129" s="3">
        <v>1748</v>
      </c>
      <c r="F129" s="236">
        <f t="shared" si="86"/>
        <v>36.310760282509349</v>
      </c>
      <c r="G129" s="3">
        <v>684</v>
      </c>
      <c r="H129" s="236">
        <f t="shared" si="87"/>
        <v>14.208558371416702</v>
      </c>
      <c r="I129" s="3">
        <v>1647</v>
      </c>
      <c r="J129" s="236">
        <f t="shared" si="88"/>
        <v>34.212712920648109</v>
      </c>
      <c r="K129" s="3">
        <v>0</v>
      </c>
      <c r="L129" s="237">
        <f t="shared" si="89"/>
        <v>0</v>
      </c>
      <c r="M129" s="3">
        <v>0</v>
      </c>
      <c r="N129" s="237">
        <f t="shared" si="90"/>
        <v>0</v>
      </c>
      <c r="O129" s="3">
        <v>30</v>
      </c>
      <c r="P129" s="237">
        <f t="shared" si="91"/>
        <v>0.62318238471125886</v>
      </c>
      <c r="Q129" s="2">
        <f t="shared" si="92"/>
        <v>4109</v>
      </c>
      <c r="R129" s="455">
        <f t="shared" si="93"/>
        <v>85.355213959285408</v>
      </c>
      <c r="S129" s="2">
        <f t="shared" si="94"/>
        <v>705</v>
      </c>
      <c r="T129" s="238">
        <f t="shared" si="95"/>
        <v>14.644786040714584</v>
      </c>
      <c r="U129" s="2"/>
      <c r="V129" s="217" t="s">
        <v>507</v>
      </c>
    </row>
    <row r="130" spans="1:22" ht="12.6" customHeight="1" x14ac:dyDescent="0.25">
      <c r="A130" s="469" t="s">
        <v>612</v>
      </c>
      <c r="B130" s="3">
        <f t="shared" si="96"/>
        <v>102</v>
      </c>
      <c r="C130" s="2" t="s">
        <v>702</v>
      </c>
      <c r="D130" s="2">
        <v>5400</v>
      </c>
      <c r="E130" s="3">
        <v>164</v>
      </c>
      <c r="F130" s="236">
        <f t="shared" si="86"/>
        <v>3.0370370370370372</v>
      </c>
      <c r="G130" s="3">
        <v>356</v>
      </c>
      <c r="H130" s="236">
        <f t="shared" si="87"/>
        <v>6.5925925925925926</v>
      </c>
      <c r="I130" s="3">
        <v>1167</v>
      </c>
      <c r="J130" s="236">
        <f t="shared" si="88"/>
        <v>21.611111111111111</v>
      </c>
      <c r="K130" s="3">
        <v>0</v>
      </c>
      <c r="L130" s="237">
        <f t="shared" si="89"/>
        <v>0</v>
      </c>
      <c r="M130" s="3">
        <v>0</v>
      </c>
      <c r="N130" s="237">
        <f t="shared" si="90"/>
        <v>0</v>
      </c>
      <c r="O130" s="3">
        <v>30</v>
      </c>
      <c r="P130" s="237">
        <f t="shared" si="91"/>
        <v>0.55555555555555558</v>
      </c>
      <c r="Q130" s="2">
        <f t="shared" si="92"/>
        <v>1717</v>
      </c>
      <c r="R130" s="455">
        <f t="shared" si="93"/>
        <v>31.796296296296294</v>
      </c>
      <c r="S130" s="2">
        <f t="shared" si="94"/>
        <v>3683</v>
      </c>
      <c r="T130" s="238">
        <f t="shared" si="95"/>
        <v>68.203703703703695</v>
      </c>
      <c r="U130" s="217" t="s">
        <v>507</v>
      </c>
      <c r="V130" s="217"/>
    </row>
    <row r="131" spans="1:22" ht="12.4" customHeight="1" x14ac:dyDescent="0.25">
      <c r="A131" s="469" t="s">
        <v>612</v>
      </c>
      <c r="B131" s="3">
        <f t="shared" si="96"/>
        <v>103</v>
      </c>
      <c r="C131" s="2" t="s">
        <v>703</v>
      </c>
      <c r="D131" s="2">
        <v>3182</v>
      </c>
      <c r="E131" s="3">
        <v>232</v>
      </c>
      <c r="F131" s="236">
        <f t="shared" si="86"/>
        <v>7.291011942174733</v>
      </c>
      <c r="G131" s="3">
        <f>748*3</f>
        <v>2244</v>
      </c>
      <c r="H131" s="236">
        <f t="shared" si="87"/>
        <v>70.521684475172847</v>
      </c>
      <c r="I131" s="3">
        <v>639</v>
      </c>
      <c r="J131" s="236">
        <f t="shared" si="88"/>
        <v>20.081709616593336</v>
      </c>
      <c r="K131" s="3">
        <v>0</v>
      </c>
      <c r="L131" s="237">
        <f t="shared" si="89"/>
        <v>0</v>
      </c>
      <c r="M131" s="3">
        <v>0</v>
      </c>
      <c r="N131" s="237">
        <f t="shared" si="90"/>
        <v>0</v>
      </c>
      <c r="O131" s="3">
        <v>30</v>
      </c>
      <c r="P131" s="237">
        <f t="shared" si="91"/>
        <v>0.94280326838466366</v>
      </c>
      <c r="Q131" s="2">
        <f t="shared" si="92"/>
        <v>3145</v>
      </c>
      <c r="R131" s="455">
        <f t="shared" si="93"/>
        <v>98.837209302325576</v>
      </c>
      <c r="S131" s="2">
        <f t="shared" si="94"/>
        <v>37</v>
      </c>
      <c r="T131" s="238">
        <f t="shared" si="95"/>
        <v>1.1627906976744187</v>
      </c>
      <c r="U131" s="2"/>
      <c r="V131" s="217" t="s">
        <v>507</v>
      </c>
    </row>
    <row r="132" spans="1:22" ht="12.4" customHeight="1" x14ac:dyDescent="0.25">
      <c r="A132" s="469" t="s">
        <v>612</v>
      </c>
      <c r="B132" s="3">
        <f t="shared" si="96"/>
        <v>104</v>
      </c>
      <c r="C132" s="2" t="s">
        <v>704</v>
      </c>
      <c r="D132" s="2">
        <v>5748</v>
      </c>
      <c r="E132" s="3">
        <v>240</v>
      </c>
      <c r="F132" s="236">
        <f t="shared" si="86"/>
        <v>4.1753653444676413</v>
      </c>
      <c r="G132" s="3">
        <v>664</v>
      </c>
      <c r="H132" s="236">
        <f t="shared" si="87"/>
        <v>11.551844119693806</v>
      </c>
      <c r="I132" s="3">
        <v>1107</v>
      </c>
      <c r="J132" s="236">
        <f t="shared" si="88"/>
        <v>19.258872651356992</v>
      </c>
      <c r="K132" s="3">
        <v>0</v>
      </c>
      <c r="L132" s="237">
        <f t="shared" si="89"/>
        <v>0</v>
      </c>
      <c r="M132" s="3">
        <v>0</v>
      </c>
      <c r="N132" s="237">
        <f t="shared" si="90"/>
        <v>0</v>
      </c>
      <c r="O132" s="3">
        <v>30</v>
      </c>
      <c r="P132" s="237">
        <f t="shared" si="91"/>
        <v>0.52192066805845516</v>
      </c>
      <c r="Q132" s="2">
        <f t="shared" si="92"/>
        <v>2041</v>
      </c>
      <c r="R132" s="455">
        <f t="shared" si="93"/>
        <v>35.508002783576899</v>
      </c>
      <c r="S132" s="2">
        <f t="shared" si="94"/>
        <v>3707</v>
      </c>
      <c r="T132" s="238">
        <f t="shared" si="95"/>
        <v>64.491997216423101</v>
      </c>
      <c r="U132" s="3"/>
      <c r="V132" s="217" t="s">
        <v>507</v>
      </c>
    </row>
    <row r="133" spans="1:22" ht="12.6" customHeight="1" x14ac:dyDescent="0.25">
      <c r="A133" s="469" t="s">
        <v>612</v>
      </c>
      <c r="B133" s="3">
        <f t="shared" si="96"/>
        <v>105</v>
      </c>
      <c r="C133" s="2" t="s">
        <v>705</v>
      </c>
      <c r="D133" s="2">
        <v>9681</v>
      </c>
      <c r="E133" s="3">
        <v>0</v>
      </c>
      <c r="F133" s="236">
        <f t="shared" si="86"/>
        <v>0</v>
      </c>
      <c r="G133" s="3">
        <v>1104</v>
      </c>
      <c r="H133" s="236">
        <f t="shared" si="87"/>
        <v>11.403780601177564</v>
      </c>
      <c r="I133" s="3">
        <v>4581</v>
      </c>
      <c r="J133" s="236">
        <f t="shared" si="88"/>
        <v>47.319491788038427</v>
      </c>
      <c r="K133" s="3">
        <v>0</v>
      </c>
      <c r="L133" s="237">
        <f t="shared" si="89"/>
        <v>0</v>
      </c>
      <c r="M133" s="3">
        <v>0</v>
      </c>
      <c r="N133" s="237">
        <f t="shared" si="90"/>
        <v>0</v>
      </c>
      <c r="O133" s="3">
        <v>0</v>
      </c>
      <c r="P133" s="237">
        <f t="shared" si="91"/>
        <v>0</v>
      </c>
      <c r="Q133" s="2">
        <f t="shared" si="92"/>
        <v>5685</v>
      </c>
      <c r="R133" s="455">
        <f t="shared" si="93"/>
        <v>58.723272389215985</v>
      </c>
      <c r="S133" s="2">
        <f t="shared" si="94"/>
        <v>3996</v>
      </c>
      <c r="T133" s="238">
        <f t="shared" si="95"/>
        <v>41.276727610784008</v>
      </c>
      <c r="U133" s="217" t="s">
        <v>507</v>
      </c>
      <c r="V133" s="2"/>
    </row>
    <row r="134" spans="1:22" ht="12.4" customHeight="1" x14ac:dyDescent="0.25">
      <c r="A134" s="469" t="s">
        <v>612</v>
      </c>
      <c r="B134" s="3">
        <f t="shared" si="96"/>
        <v>106</v>
      </c>
      <c r="C134" s="2" t="s">
        <v>706</v>
      </c>
      <c r="D134" s="2">
        <v>11735</v>
      </c>
      <c r="E134" s="3">
        <v>5216</v>
      </c>
      <c r="F134" s="236">
        <f t="shared" si="86"/>
        <v>44.448231785257775</v>
      </c>
      <c r="G134" s="3">
        <v>160</v>
      </c>
      <c r="H134" s="236">
        <f t="shared" si="87"/>
        <v>1.3634426927993182</v>
      </c>
      <c r="I134" s="3">
        <v>2166</v>
      </c>
      <c r="J134" s="236">
        <f t="shared" si="88"/>
        <v>18.457605453770771</v>
      </c>
      <c r="K134" s="3">
        <v>0</v>
      </c>
      <c r="L134" s="237">
        <f t="shared" si="89"/>
        <v>0</v>
      </c>
      <c r="M134" s="3">
        <v>0</v>
      </c>
      <c r="N134" s="237">
        <f t="shared" si="90"/>
        <v>0</v>
      </c>
      <c r="O134" s="3">
        <v>0</v>
      </c>
      <c r="P134" s="237">
        <f t="shared" si="91"/>
        <v>0</v>
      </c>
      <c r="Q134" s="2">
        <f t="shared" si="92"/>
        <v>7542</v>
      </c>
      <c r="R134" s="455">
        <f t="shared" si="93"/>
        <v>64.269279931827867</v>
      </c>
      <c r="S134" s="2">
        <f t="shared" si="94"/>
        <v>4193</v>
      </c>
      <c r="T134" s="238">
        <f t="shared" si="95"/>
        <v>35.730720068172133</v>
      </c>
      <c r="U134" s="3"/>
      <c r="V134" s="217" t="s">
        <v>507</v>
      </c>
    </row>
    <row r="135" spans="1:22" ht="12.75" customHeight="1" x14ac:dyDescent="0.25">
      <c r="A135" s="469" t="s">
        <v>612</v>
      </c>
      <c r="B135" s="3">
        <f t="shared" si="96"/>
        <v>107</v>
      </c>
      <c r="C135" s="2" t="s">
        <v>707</v>
      </c>
      <c r="D135" s="2">
        <v>7804</v>
      </c>
      <c r="E135" s="3">
        <v>0</v>
      </c>
      <c r="F135" s="236">
        <f t="shared" si="86"/>
        <v>0</v>
      </c>
      <c r="G135" s="3">
        <v>1020</v>
      </c>
      <c r="H135" s="236">
        <f t="shared" si="87"/>
        <v>13.070220399794977</v>
      </c>
      <c r="I135" s="3">
        <v>3288</v>
      </c>
      <c r="J135" s="236">
        <f t="shared" si="88"/>
        <v>42.132239876986162</v>
      </c>
      <c r="K135" s="3">
        <v>0</v>
      </c>
      <c r="L135" s="237">
        <f t="shared" si="89"/>
        <v>0</v>
      </c>
      <c r="M135" s="3">
        <v>0</v>
      </c>
      <c r="N135" s="237">
        <f t="shared" si="90"/>
        <v>0</v>
      </c>
      <c r="O135" s="3">
        <v>0</v>
      </c>
      <c r="P135" s="237">
        <f t="shared" si="91"/>
        <v>0</v>
      </c>
      <c r="Q135" s="2">
        <f t="shared" si="92"/>
        <v>4308</v>
      </c>
      <c r="R135" s="455">
        <f t="shared" si="93"/>
        <v>55.202460276781139</v>
      </c>
      <c r="S135" s="2">
        <f t="shared" si="94"/>
        <v>3496</v>
      </c>
      <c r="T135" s="238">
        <f t="shared" si="95"/>
        <v>44.797539723218861</v>
      </c>
      <c r="U135" s="217" t="s">
        <v>507</v>
      </c>
      <c r="V135" s="2"/>
    </row>
    <row r="136" spans="1:22" ht="12.75" customHeight="1" x14ac:dyDescent="0.25">
      <c r="A136" s="469"/>
      <c r="B136" s="3">
        <f t="shared" si="96"/>
        <v>108</v>
      </c>
      <c r="C136" s="2" t="s">
        <v>680</v>
      </c>
      <c r="D136" s="2">
        <v>4388</v>
      </c>
      <c r="E136" s="3">
        <v>200</v>
      </c>
      <c r="F136" s="236">
        <f t="shared" si="86"/>
        <v>4.557885141294439</v>
      </c>
      <c r="G136" s="3">
        <v>2412</v>
      </c>
      <c r="H136" s="236">
        <f t="shared" si="87"/>
        <v>54.968094804010939</v>
      </c>
      <c r="I136" s="3">
        <v>888</v>
      </c>
      <c r="J136" s="236">
        <f t="shared" si="88"/>
        <v>20.23701002734731</v>
      </c>
      <c r="K136" s="3">
        <v>0</v>
      </c>
      <c r="L136" s="237">
        <f t="shared" si="89"/>
        <v>0</v>
      </c>
      <c r="M136" s="3">
        <v>0</v>
      </c>
      <c r="N136" s="237">
        <f t="shared" si="90"/>
        <v>0</v>
      </c>
      <c r="O136" s="3">
        <v>0</v>
      </c>
      <c r="P136" s="237">
        <f t="shared" si="91"/>
        <v>0</v>
      </c>
      <c r="Q136" s="2">
        <f t="shared" si="92"/>
        <v>3500</v>
      </c>
      <c r="R136" s="455">
        <f t="shared" si="93"/>
        <v>79.76298997265269</v>
      </c>
      <c r="S136" s="2">
        <f t="shared" si="94"/>
        <v>888</v>
      </c>
      <c r="T136" s="238">
        <f t="shared" si="95"/>
        <v>20.23701002734731</v>
      </c>
      <c r="U136" s="3"/>
      <c r="V136" s="217" t="s">
        <v>507</v>
      </c>
    </row>
    <row r="137" spans="1:22" ht="12.75" customHeight="1" x14ac:dyDescent="0.25">
      <c r="A137" s="469"/>
      <c r="B137" s="3">
        <f t="shared" si="96"/>
        <v>109</v>
      </c>
      <c r="C137" s="2" t="s">
        <v>708</v>
      </c>
      <c r="D137" s="2">
        <v>2626</v>
      </c>
      <c r="E137" s="3">
        <v>0</v>
      </c>
      <c r="F137" s="236">
        <f t="shared" si="86"/>
        <v>0</v>
      </c>
      <c r="G137" s="3">
        <v>980</v>
      </c>
      <c r="H137" s="236">
        <f t="shared" si="87"/>
        <v>37.319116527037323</v>
      </c>
      <c r="I137" s="3">
        <v>933</v>
      </c>
      <c r="J137" s="236">
        <f t="shared" si="88"/>
        <v>35.52932216298553</v>
      </c>
      <c r="K137" s="3">
        <v>0</v>
      </c>
      <c r="L137" s="237">
        <f t="shared" si="89"/>
        <v>0</v>
      </c>
      <c r="M137" s="3">
        <v>0</v>
      </c>
      <c r="N137" s="237">
        <f t="shared" si="90"/>
        <v>0</v>
      </c>
      <c r="O137" s="3">
        <v>0</v>
      </c>
      <c r="P137" s="237">
        <f t="shared" si="91"/>
        <v>0</v>
      </c>
      <c r="Q137" s="2">
        <f t="shared" si="92"/>
        <v>1913</v>
      </c>
      <c r="R137" s="455">
        <f t="shared" si="93"/>
        <v>72.848438690022846</v>
      </c>
      <c r="S137" s="2">
        <f t="shared" si="94"/>
        <v>713</v>
      </c>
      <c r="T137" s="238">
        <f t="shared" si="95"/>
        <v>27.151561309977151</v>
      </c>
      <c r="U137" s="3"/>
      <c r="V137" s="217" t="s">
        <v>507</v>
      </c>
    </row>
    <row r="138" spans="1:22" ht="12.75" customHeight="1" x14ac:dyDescent="0.25">
      <c r="A138" s="469"/>
      <c r="B138" s="3">
        <f t="shared" si="96"/>
        <v>110</v>
      </c>
      <c r="C138" s="2" t="s">
        <v>709</v>
      </c>
      <c r="D138" s="2">
        <v>2426</v>
      </c>
      <c r="E138" s="3">
        <v>240</v>
      </c>
      <c r="F138" s="236">
        <f t="shared" si="86"/>
        <v>9.8928276999175591</v>
      </c>
      <c r="G138" s="3">
        <v>160</v>
      </c>
      <c r="H138" s="236">
        <f t="shared" si="87"/>
        <v>6.5952184666117057</v>
      </c>
      <c r="I138" s="3">
        <v>1287</v>
      </c>
      <c r="J138" s="236">
        <f t="shared" si="88"/>
        <v>53.050288540807912</v>
      </c>
      <c r="K138" s="3">
        <v>0</v>
      </c>
      <c r="L138" s="237">
        <f t="shared" si="89"/>
        <v>0</v>
      </c>
      <c r="M138" s="3">
        <v>0</v>
      </c>
      <c r="N138" s="237">
        <f t="shared" si="90"/>
        <v>0</v>
      </c>
      <c r="O138" s="3">
        <v>30</v>
      </c>
      <c r="P138" s="237">
        <f t="shared" si="91"/>
        <v>1.2366034624896949</v>
      </c>
      <c r="Q138" s="2">
        <f t="shared" si="92"/>
        <v>1717</v>
      </c>
      <c r="R138" s="455">
        <f t="shared" si="93"/>
        <v>70.774938169826868</v>
      </c>
      <c r="S138" s="2">
        <f t="shared" si="94"/>
        <v>709</v>
      </c>
      <c r="T138" s="238">
        <f t="shared" si="95"/>
        <v>29.225061830173125</v>
      </c>
      <c r="U138" s="3"/>
      <c r="V138" s="217" t="s">
        <v>507</v>
      </c>
    </row>
    <row r="139" spans="1:22" ht="12.75" customHeight="1" x14ac:dyDescent="0.25">
      <c r="A139" s="469"/>
      <c r="B139" s="3">
        <f t="shared" si="96"/>
        <v>111</v>
      </c>
      <c r="C139" s="2" t="s">
        <v>710</v>
      </c>
      <c r="D139" s="2">
        <v>2400</v>
      </c>
      <c r="E139" s="3">
        <v>300</v>
      </c>
      <c r="F139" s="236">
        <f t="shared" si="86"/>
        <v>12.5</v>
      </c>
      <c r="G139" s="3">
        <v>28</v>
      </c>
      <c r="H139" s="236">
        <f t="shared" si="87"/>
        <v>1.1666666666666667</v>
      </c>
      <c r="I139" s="3">
        <v>1017</v>
      </c>
      <c r="J139" s="236">
        <f t="shared" si="88"/>
        <v>42.375</v>
      </c>
      <c r="K139" s="3">
        <v>0</v>
      </c>
      <c r="L139" s="237">
        <f t="shared" si="89"/>
        <v>0</v>
      </c>
      <c r="M139" s="3">
        <v>0</v>
      </c>
      <c r="N139" s="237">
        <f t="shared" si="90"/>
        <v>0</v>
      </c>
      <c r="O139" s="3">
        <v>30</v>
      </c>
      <c r="P139" s="237">
        <f t="shared" si="91"/>
        <v>1.25</v>
      </c>
      <c r="Q139" s="2">
        <f t="shared" si="92"/>
        <v>1375</v>
      </c>
      <c r="R139" s="455">
        <f t="shared" si="93"/>
        <v>57.291666666666664</v>
      </c>
      <c r="S139" s="2">
        <f t="shared" si="94"/>
        <v>1025</v>
      </c>
      <c r="T139" s="238">
        <f t="shared" si="95"/>
        <v>42.708333333333329</v>
      </c>
      <c r="U139" s="3"/>
      <c r="V139" s="217" t="s">
        <v>507</v>
      </c>
    </row>
    <row r="140" spans="1:22" ht="12.75" customHeight="1" x14ac:dyDescent="0.25">
      <c r="A140" s="469"/>
      <c r="B140" s="3">
        <f t="shared" si="96"/>
        <v>112</v>
      </c>
      <c r="C140" s="2" t="s">
        <v>711</v>
      </c>
      <c r="D140" s="2">
        <v>2443</v>
      </c>
      <c r="E140" s="3">
        <v>200</v>
      </c>
      <c r="F140" s="236">
        <f t="shared" si="86"/>
        <v>8.1866557511256648</v>
      </c>
      <c r="G140" s="3">
        <v>652</v>
      </c>
      <c r="H140" s="236">
        <f t="shared" si="87"/>
        <v>26.688497748669672</v>
      </c>
      <c r="I140" s="3">
        <v>1146</v>
      </c>
      <c r="J140" s="236">
        <f t="shared" si="88"/>
        <v>46.909537453950065</v>
      </c>
      <c r="K140" s="3">
        <v>0</v>
      </c>
      <c r="L140" s="237">
        <f t="shared" si="89"/>
        <v>0</v>
      </c>
      <c r="M140" s="3">
        <v>0</v>
      </c>
      <c r="N140" s="237">
        <f t="shared" si="90"/>
        <v>0</v>
      </c>
      <c r="O140" s="3">
        <v>0</v>
      </c>
      <c r="P140" s="237">
        <f t="shared" si="91"/>
        <v>0</v>
      </c>
      <c r="Q140" s="2">
        <f t="shared" si="92"/>
        <v>1998</v>
      </c>
      <c r="R140" s="455">
        <f t="shared" si="93"/>
        <v>81.784690953745397</v>
      </c>
      <c r="S140" s="2">
        <f t="shared" si="94"/>
        <v>445</v>
      </c>
      <c r="T140" s="238">
        <f t="shared" si="95"/>
        <v>18.215309046254603</v>
      </c>
      <c r="U140" s="217" t="s">
        <v>507</v>
      </c>
      <c r="V140" s="2"/>
    </row>
    <row r="141" spans="1:22" ht="12.75" customHeight="1" x14ac:dyDescent="0.25">
      <c r="A141" s="469"/>
      <c r="B141" s="3">
        <f t="shared" si="96"/>
        <v>113</v>
      </c>
      <c r="C141" s="2" t="s">
        <v>712</v>
      </c>
      <c r="D141" s="2">
        <v>3615</v>
      </c>
      <c r="E141" s="3">
        <v>308</v>
      </c>
      <c r="F141" s="236">
        <f t="shared" si="86"/>
        <v>8.5200553250345781</v>
      </c>
      <c r="G141" s="3">
        <v>200</v>
      </c>
      <c r="H141" s="236">
        <f t="shared" si="87"/>
        <v>5.532503457814661</v>
      </c>
      <c r="I141" s="3">
        <v>1020</v>
      </c>
      <c r="J141" s="236">
        <f t="shared" si="88"/>
        <v>28.215767634854771</v>
      </c>
      <c r="K141" s="3">
        <v>0</v>
      </c>
      <c r="L141" s="237">
        <f t="shared" si="89"/>
        <v>0</v>
      </c>
      <c r="M141" s="3">
        <v>0</v>
      </c>
      <c r="N141" s="237">
        <f t="shared" si="90"/>
        <v>0</v>
      </c>
      <c r="O141" s="3">
        <v>30</v>
      </c>
      <c r="P141" s="237">
        <f t="shared" si="91"/>
        <v>0.82987551867219922</v>
      </c>
      <c r="Q141" s="2">
        <f t="shared" si="92"/>
        <v>1558</v>
      </c>
      <c r="R141" s="455">
        <f t="shared" si="93"/>
        <v>43.098201936376213</v>
      </c>
      <c r="S141" s="2">
        <f t="shared" si="94"/>
        <v>2057</v>
      </c>
      <c r="T141" s="238">
        <f t="shared" si="95"/>
        <v>56.901798063623787</v>
      </c>
      <c r="U141" s="217" t="s">
        <v>507</v>
      </c>
      <c r="V141" s="2"/>
    </row>
    <row r="142" spans="1:22" ht="12.75" customHeight="1" x14ac:dyDescent="0.25">
      <c r="A142" s="469"/>
      <c r="B142" s="445"/>
      <c r="C142" s="446"/>
      <c r="D142" s="446"/>
      <c r="E142" s="445"/>
      <c r="F142" s="448"/>
      <c r="G142" s="445"/>
      <c r="H142" s="448"/>
      <c r="I142" s="445"/>
      <c r="J142" s="448"/>
      <c r="K142" s="445"/>
      <c r="L142" s="449"/>
      <c r="M142" s="445"/>
      <c r="N142" s="449"/>
      <c r="O142" s="445"/>
      <c r="P142" s="449"/>
      <c r="Q142" s="446"/>
      <c r="R142" s="450">
        <f>(R126+R127+R128+R129+R130+R131+R132+R133+R134+R135+R136+R137+R138+R139+R140+R141)/16</f>
        <v>67.406100657478305</v>
      </c>
      <c r="S142" s="446"/>
      <c r="T142" s="451"/>
      <c r="U142" s="452"/>
      <c r="V142" s="446"/>
    </row>
    <row r="143" spans="1:22" ht="12" customHeight="1" x14ac:dyDescent="0.25">
      <c r="A143" s="469" t="s">
        <v>612</v>
      </c>
      <c r="B143" s="471" t="s">
        <v>23</v>
      </c>
      <c r="C143" s="471"/>
      <c r="D143" s="243">
        <f>SUM(D126:D141)</f>
        <v>97535</v>
      </c>
      <c r="E143" s="225">
        <f>SUM(E126:E141)</f>
        <v>17564</v>
      </c>
      <c r="F143" s="225"/>
      <c r="G143" s="225">
        <f>SUM(G126:G141)</f>
        <v>11060</v>
      </c>
      <c r="H143" s="225"/>
      <c r="I143" s="225">
        <f>SUM(I126:I141)</f>
        <v>36882</v>
      </c>
      <c r="J143" s="239"/>
      <c r="K143" s="225">
        <f>SUM(K126:K141)</f>
        <v>0</v>
      </c>
      <c r="L143" s="225"/>
      <c r="M143" s="225">
        <f>SUM(M126:M141)</f>
        <v>0</v>
      </c>
      <c r="N143" s="98"/>
      <c r="O143" s="225">
        <f>SUM(O126:O141)</f>
        <v>210</v>
      </c>
      <c r="P143" s="98"/>
      <c r="Q143" s="225">
        <f>SUM(Q126:Q141)</f>
        <v>65716</v>
      </c>
      <c r="R143" s="225"/>
      <c r="S143" s="225">
        <f>SUM(S126:S141)</f>
        <v>31819</v>
      </c>
      <c r="T143" s="240"/>
      <c r="U143" s="225"/>
      <c r="V143" s="225"/>
    </row>
    <row r="144" spans="1:22" ht="12.2" customHeight="1" x14ac:dyDescent="0.25">
      <c r="A144" s="469">
        <v>10</v>
      </c>
      <c r="B144" s="470" t="s">
        <v>713</v>
      </c>
      <c r="C144" s="470"/>
      <c r="D144" s="1"/>
      <c r="E144" s="1"/>
      <c r="F144" s="1"/>
      <c r="G144" s="1"/>
      <c r="H144" s="1"/>
      <c r="I144" s="1"/>
      <c r="J144" s="233"/>
      <c r="K144" s="1"/>
      <c r="L144" s="1"/>
      <c r="M144" s="1"/>
      <c r="N144" s="1"/>
      <c r="O144" s="1"/>
      <c r="P144" s="1"/>
      <c r="Q144" s="1"/>
      <c r="R144" s="1"/>
      <c r="S144" s="1"/>
      <c r="T144" s="234"/>
      <c r="U144" s="1"/>
      <c r="V144" s="1"/>
    </row>
    <row r="145" spans="1:23" ht="12.75" customHeight="1" x14ac:dyDescent="0.25">
      <c r="A145" s="469" t="s">
        <v>612</v>
      </c>
      <c r="B145" s="3">
        <f>B141+1</f>
        <v>114</v>
      </c>
      <c r="C145" s="2" t="s">
        <v>714</v>
      </c>
      <c r="D145" s="2">
        <v>15810</v>
      </c>
      <c r="E145" s="3">
        <v>3332</v>
      </c>
      <c r="F145" s="236">
        <f t="shared" ref="F145:F153" si="97">E145/D145*100</f>
        <v>21.0752688172043</v>
      </c>
      <c r="G145" s="3">
        <v>0</v>
      </c>
      <c r="H145" s="236">
        <f t="shared" ref="H145:H153" si="98">G145/D145*100</f>
        <v>0</v>
      </c>
      <c r="I145" s="3">
        <v>7059</v>
      </c>
      <c r="J145" s="236">
        <f t="shared" ref="J145:J153" si="99">I145/D145*100</f>
        <v>44.648956356736242</v>
      </c>
      <c r="K145" s="3">
        <v>4</v>
      </c>
      <c r="L145" s="237">
        <f t="shared" ref="L145:L153" si="100">K145/D145*100</f>
        <v>2.5300442757748263E-2</v>
      </c>
      <c r="M145" s="3">
        <v>0</v>
      </c>
      <c r="N145" s="237">
        <f t="shared" ref="N145:N153" si="101">M145/D145*100</f>
        <v>0</v>
      </c>
      <c r="O145" s="3">
        <v>0</v>
      </c>
      <c r="P145" s="237">
        <f t="shared" ref="P145:P153" si="102">O145/D145*100</f>
        <v>0</v>
      </c>
      <c r="Q145" s="2">
        <f t="shared" ref="Q145:Q153" si="103">E145+G145+I145+K145+M145+O145</f>
        <v>10395</v>
      </c>
      <c r="R145" s="455">
        <f t="shared" ref="R145:R153" si="104">Q145/D145*100</f>
        <v>65.749525616698293</v>
      </c>
      <c r="S145" s="2">
        <f t="shared" ref="S145:S153" si="105">D145-Q145</f>
        <v>5415</v>
      </c>
      <c r="T145" s="238">
        <f t="shared" ref="T145:T153" si="106">S145/D145*100</f>
        <v>34.250474383301707</v>
      </c>
      <c r="U145" s="2"/>
      <c r="V145" s="217" t="s">
        <v>507</v>
      </c>
      <c r="W145" s="245"/>
    </row>
    <row r="146" spans="1:23" ht="12.6" customHeight="1" x14ac:dyDescent="0.25">
      <c r="A146" s="469" t="s">
        <v>612</v>
      </c>
      <c r="B146" s="3">
        <f>B145+1</f>
        <v>115</v>
      </c>
      <c r="C146" s="2" t="s">
        <v>715</v>
      </c>
      <c r="D146" s="2">
        <v>7190</v>
      </c>
      <c r="E146" s="3">
        <v>1468</v>
      </c>
      <c r="F146" s="236">
        <f t="shared" si="97"/>
        <v>20.417246175243395</v>
      </c>
      <c r="G146" s="3">
        <v>0</v>
      </c>
      <c r="H146" s="236">
        <f t="shared" si="98"/>
        <v>0</v>
      </c>
      <c r="I146" s="3">
        <v>3114</v>
      </c>
      <c r="J146" s="236">
        <f t="shared" si="99"/>
        <v>43.310152990264257</v>
      </c>
      <c r="K146" s="3">
        <v>0</v>
      </c>
      <c r="L146" s="237">
        <f t="shared" si="100"/>
        <v>0</v>
      </c>
      <c r="M146" s="3">
        <v>0</v>
      </c>
      <c r="N146" s="237">
        <f t="shared" si="101"/>
        <v>0</v>
      </c>
      <c r="O146" s="3">
        <v>0</v>
      </c>
      <c r="P146" s="237">
        <f t="shared" si="102"/>
        <v>0</v>
      </c>
      <c r="Q146" s="2">
        <f t="shared" si="103"/>
        <v>4582</v>
      </c>
      <c r="R146" s="455">
        <f t="shared" si="104"/>
        <v>63.727399165507649</v>
      </c>
      <c r="S146" s="2">
        <f t="shared" si="105"/>
        <v>2608</v>
      </c>
      <c r="T146" s="238">
        <f t="shared" si="106"/>
        <v>36.272600834492351</v>
      </c>
      <c r="U146" s="2"/>
      <c r="V146" s="217" t="s">
        <v>507</v>
      </c>
      <c r="W146" s="245"/>
    </row>
    <row r="147" spans="1:23" ht="12.4" customHeight="1" x14ac:dyDescent="0.25">
      <c r="A147" s="469" t="s">
        <v>612</v>
      </c>
      <c r="B147" s="3">
        <f t="shared" ref="B147:B153" si="107">B146+1</f>
        <v>116</v>
      </c>
      <c r="C147" s="2" t="s">
        <v>716</v>
      </c>
      <c r="D147" s="2">
        <v>6218</v>
      </c>
      <c r="E147" s="3">
        <v>0</v>
      </c>
      <c r="F147" s="236">
        <f t="shared" si="97"/>
        <v>0</v>
      </c>
      <c r="G147" s="3">
        <v>1372</v>
      </c>
      <c r="H147" s="236">
        <f t="shared" si="98"/>
        <v>22.064972660019301</v>
      </c>
      <c r="I147" s="3">
        <v>2811</v>
      </c>
      <c r="J147" s="236">
        <f t="shared" si="99"/>
        <v>45.207462206497269</v>
      </c>
      <c r="K147" s="3">
        <v>8</v>
      </c>
      <c r="L147" s="237">
        <f t="shared" si="100"/>
        <v>0.12865873271148279</v>
      </c>
      <c r="M147" s="3">
        <v>0</v>
      </c>
      <c r="N147" s="237">
        <f t="shared" si="101"/>
        <v>0</v>
      </c>
      <c r="O147" s="3">
        <v>891</v>
      </c>
      <c r="P147" s="237">
        <f t="shared" si="102"/>
        <v>14.329366355741396</v>
      </c>
      <c r="Q147" s="2">
        <f t="shared" si="103"/>
        <v>5082</v>
      </c>
      <c r="R147" s="455">
        <f t="shared" si="104"/>
        <v>81.730459954969447</v>
      </c>
      <c r="S147" s="2">
        <f t="shared" si="105"/>
        <v>1136</v>
      </c>
      <c r="T147" s="238">
        <f t="shared" si="106"/>
        <v>18.269540045030556</v>
      </c>
      <c r="U147" s="2"/>
      <c r="V147" s="217" t="s">
        <v>507</v>
      </c>
      <c r="W147" s="245"/>
    </row>
    <row r="148" spans="1:23" ht="12.6" customHeight="1" x14ac:dyDescent="0.25">
      <c r="A148" s="469" t="s">
        <v>612</v>
      </c>
      <c r="B148" s="3">
        <f t="shared" si="107"/>
        <v>117</v>
      </c>
      <c r="C148" s="2" t="s">
        <v>717</v>
      </c>
      <c r="D148" s="2">
        <v>2059</v>
      </c>
      <c r="E148" s="3">
        <v>1227</v>
      </c>
      <c r="F148" s="236">
        <f t="shared" si="97"/>
        <v>59.592034968431271</v>
      </c>
      <c r="G148" s="3">
        <v>408</v>
      </c>
      <c r="H148" s="236">
        <f t="shared" si="98"/>
        <v>19.815444390480817</v>
      </c>
      <c r="I148" s="3">
        <f>171*2</f>
        <v>342</v>
      </c>
      <c r="J148" s="236">
        <f t="shared" si="99"/>
        <v>16.610004856726565</v>
      </c>
      <c r="K148" s="3">
        <v>0</v>
      </c>
      <c r="L148" s="237">
        <f t="shared" si="100"/>
        <v>0</v>
      </c>
      <c r="M148" s="3">
        <v>0</v>
      </c>
      <c r="N148" s="237">
        <f t="shared" si="101"/>
        <v>0</v>
      </c>
      <c r="O148" s="3">
        <v>0</v>
      </c>
      <c r="P148" s="237">
        <f t="shared" si="102"/>
        <v>0</v>
      </c>
      <c r="Q148" s="2">
        <f t="shared" si="103"/>
        <v>1977</v>
      </c>
      <c r="R148" s="455">
        <f t="shared" si="104"/>
        <v>96.01748421563866</v>
      </c>
      <c r="S148" s="2">
        <f t="shared" si="105"/>
        <v>82</v>
      </c>
      <c r="T148" s="238">
        <f t="shared" si="106"/>
        <v>3.9825157843613401</v>
      </c>
      <c r="U148" s="2"/>
      <c r="V148" s="217" t="s">
        <v>507</v>
      </c>
      <c r="W148" s="245"/>
    </row>
    <row r="149" spans="1:23" ht="12.6" customHeight="1" x14ac:dyDescent="0.25">
      <c r="A149" s="469" t="s">
        <v>612</v>
      </c>
      <c r="B149" s="3">
        <f t="shared" si="107"/>
        <v>118</v>
      </c>
      <c r="C149" s="2" t="s">
        <v>718</v>
      </c>
      <c r="D149" s="2">
        <v>5158</v>
      </c>
      <c r="E149" s="3">
        <v>548</v>
      </c>
      <c r="F149" s="236">
        <f t="shared" si="97"/>
        <v>10.624272974020938</v>
      </c>
      <c r="G149" s="3">
        <v>348</v>
      </c>
      <c r="H149" s="236">
        <f t="shared" si="98"/>
        <v>6.7468010856921294</v>
      </c>
      <c r="I149" s="3">
        <v>2334</v>
      </c>
      <c r="J149" s="236">
        <f t="shared" si="99"/>
        <v>45.250096936797206</v>
      </c>
      <c r="K149" s="3">
        <v>4</v>
      </c>
      <c r="L149" s="237">
        <f t="shared" si="100"/>
        <v>7.754943776657619E-2</v>
      </c>
      <c r="M149" s="3">
        <v>0</v>
      </c>
      <c r="N149" s="237">
        <f t="shared" si="101"/>
        <v>0</v>
      </c>
      <c r="O149" s="3">
        <v>0</v>
      </c>
      <c r="P149" s="237">
        <f t="shared" si="102"/>
        <v>0</v>
      </c>
      <c r="Q149" s="2">
        <f t="shared" si="103"/>
        <v>3234</v>
      </c>
      <c r="R149" s="455">
        <f t="shared" si="104"/>
        <v>62.698720434276858</v>
      </c>
      <c r="S149" s="2">
        <f t="shared" si="105"/>
        <v>1924</v>
      </c>
      <c r="T149" s="238">
        <f t="shared" si="106"/>
        <v>37.301279565723149</v>
      </c>
      <c r="U149" s="3"/>
      <c r="V149" s="217" t="s">
        <v>507</v>
      </c>
      <c r="W149" s="245"/>
    </row>
    <row r="150" spans="1:23" ht="12.4" customHeight="1" x14ac:dyDescent="0.25">
      <c r="A150" s="469" t="s">
        <v>612</v>
      </c>
      <c r="B150" s="3">
        <f t="shared" si="107"/>
        <v>119</v>
      </c>
      <c r="C150" s="2" t="s">
        <v>719</v>
      </c>
      <c r="D150" s="2">
        <v>4113</v>
      </c>
      <c r="E150" s="3">
        <v>1257</v>
      </c>
      <c r="F150" s="236">
        <f t="shared" si="97"/>
        <v>30.561633843909554</v>
      </c>
      <c r="G150" s="3">
        <v>1224</v>
      </c>
      <c r="H150" s="236">
        <f t="shared" si="98"/>
        <v>29.759299781181621</v>
      </c>
      <c r="I150" s="3">
        <v>1608</v>
      </c>
      <c r="J150" s="236">
        <f t="shared" si="99"/>
        <v>39.095550692924874</v>
      </c>
      <c r="K150" s="3">
        <v>10</v>
      </c>
      <c r="L150" s="237">
        <f t="shared" si="100"/>
        <v>0.24313153415998057</v>
      </c>
      <c r="M150" s="3">
        <v>0</v>
      </c>
      <c r="N150" s="237">
        <f t="shared" si="101"/>
        <v>0</v>
      </c>
      <c r="O150" s="3">
        <v>8</v>
      </c>
      <c r="P150" s="237">
        <f t="shared" si="102"/>
        <v>0.19450522732798445</v>
      </c>
      <c r="Q150" s="2">
        <f t="shared" si="103"/>
        <v>4107</v>
      </c>
      <c r="R150" s="455">
        <f t="shared" si="104"/>
        <v>99.854121079504012</v>
      </c>
      <c r="S150" s="2">
        <f t="shared" si="105"/>
        <v>6</v>
      </c>
      <c r="T150" s="238">
        <f t="shared" si="106"/>
        <v>0.14587892049598833</v>
      </c>
      <c r="U150" s="2"/>
      <c r="V150" s="217" t="s">
        <v>507</v>
      </c>
      <c r="W150" s="245"/>
    </row>
    <row r="151" spans="1:23" ht="12.4" customHeight="1" x14ac:dyDescent="0.25">
      <c r="A151" s="469" t="s">
        <v>612</v>
      </c>
      <c r="B151" s="3">
        <f t="shared" si="107"/>
        <v>120</v>
      </c>
      <c r="C151" s="2" t="s">
        <v>720</v>
      </c>
      <c r="D151" s="2">
        <v>5914</v>
      </c>
      <c r="E151" s="3">
        <v>992</v>
      </c>
      <c r="F151" s="236">
        <f t="shared" si="97"/>
        <v>16.773757186337505</v>
      </c>
      <c r="G151" s="3">
        <v>432</v>
      </c>
      <c r="H151" s="236">
        <f t="shared" si="98"/>
        <v>7.3047007101792367</v>
      </c>
      <c r="I151" s="3">
        <v>2451</v>
      </c>
      <c r="J151" s="236">
        <f t="shared" si="99"/>
        <v>41.444031112614141</v>
      </c>
      <c r="K151" s="3">
        <v>12</v>
      </c>
      <c r="L151" s="237">
        <f t="shared" si="100"/>
        <v>0.20290835306053431</v>
      </c>
      <c r="M151" s="3">
        <v>0</v>
      </c>
      <c r="N151" s="237">
        <f t="shared" si="101"/>
        <v>0</v>
      </c>
      <c r="O151" s="3">
        <v>123</v>
      </c>
      <c r="P151" s="237">
        <f t="shared" si="102"/>
        <v>2.0798106188704768</v>
      </c>
      <c r="Q151" s="2">
        <f t="shared" si="103"/>
        <v>4010</v>
      </c>
      <c r="R151" s="455">
        <f t="shared" si="104"/>
        <v>67.805207981061884</v>
      </c>
      <c r="S151" s="2">
        <f t="shared" si="105"/>
        <v>1904</v>
      </c>
      <c r="T151" s="238">
        <f t="shared" si="106"/>
        <v>32.194792018938109</v>
      </c>
      <c r="U151" s="3"/>
      <c r="V151" s="217" t="s">
        <v>507</v>
      </c>
      <c r="W151" s="245"/>
    </row>
    <row r="152" spans="1:23" ht="12.6" customHeight="1" x14ac:dyDescent="0.25">
      <c r="A152" s="469" t="s">
        <v>612</v>
      </c>
      <c r="B152" s="3">
        <f t="shared" si="107"/>
        <v>121</v>
      </c>
      <c r="C152" s="2" t="s">
        <v>721</v>
      </c>
      <c r="D152" s="2">
        <v>4121</v>
      </c>
      <c r="E152" s="3">
        <v>0</v>
      </c>
      <c r="F152" s="236">
        <f t="shared" si="97"/>
        <v>0</v>
      </c>
      <c r="G152" s="3">
        <v>1076</v>
      </c>
      <c r="H152" s="236">
        <f t="shared" si="98"/>
        <v>26.11016743508857</v>
      </c>
      <c r="I152" s="3">
        <v>2103</v>
      </c>
      <c r="J152" s="236">
        <f t="shared" si="99"/>
        <v>51.031303081776272</v>
      </c>
      <c r="K152" s="3">
        <v>7</v>
      </c>
      <c r="L152" s="237">
        <f t="shared" si="100"/>
        <v>0.16986168405726765</v>
      </c>
      <c r="M152" s="3">
        <v>0</v>
      </c>
      <c r="N152" s="237">
        <f t="shared" si="101"/>
        <v>0</v>
      </c>
      <c r="O152" s="3">
        <v>228</v>
      </c>
      <c r="P152" s="237">
        <f t="shared" si="102"/>
        <v>5.5326377092938603</v>
      </c>
      <c r="Q152" s="2">
        <f t="shared" si="103"/>
        <v>3414</v>
      </c>
      <c r="R152" s="455">
        <f t="shared" si="104"/>
        <v>82.843969910215961</v>
      </c>
      <c r="S152" s="2">
        <f t="shared" si="105"/>
        <v>707</v>
      </c>
      <c r="T152" s="238">
        <f t="shared" si="106"/>
        <v>17.156030089784032</v>
      </c>
      <c r="U152" s="3"/>
      <c r="V152" s="217" t="s">
        <v>507</v>
      </c>
      <c r="W152" s="245"/>
    </row>
    <row r="153" spans="1:23" ht="12.4" customHeight="1" x14ac:dyDescent="0.25">
      <c r="A153" s="469" t="s">
        <v>612</v>
      </c>
      <c r="B153" s="3">
        <f t="shared" si="107"/>
        <v>122</v>
      </c>
      <c r="C153" s="2" t="s">
        <v>722</v>
      </c>
      <c r="D153" s="2">
        <v>1368</v>
      </c>
      <c r="E153" s="3">
        <v>735</v>
      </c>
      <c r="F153" s="236">
        <f t="shared" si="97"/>
        <v>53.728070175438589</v>
      </c>
      <c r="G153" s="3">
        <v>480</v>
      </c>
      <c r="H153" s="236">
        <f t="shared" si="98"/>
        <v>35.087719298245609</v>
      </c>
      <c r="I153" s="3">
        <v>0</v>
      </c>
      <c r="J153" s="236">
        <f t="shared" si="99"/>
        <v>0</v>
      </c>
      <c r="K153" s="3">
        <v>0</v>
      </c>
      <c r="L153" s="237">
        <f t="shared" si="100"/>
        <v>0</v>
      </c>
      <c r="M153" s="3">
        <v>0</v>
      </c>
      <c r="N153" s="237">
        <f t="shared" si="101"/>
        <v>0</v>
      </c>
      <c r="O153" s="3">
        <v>0</v>
      </c>
      <c r="P153" s="237">
        <f t="shared" si="102"/>
        <v>0</v>
      </c>
      <c r="Q153" s="2">
        <f t="shared" si="103"/>
        <v>1215</v>
      </c>
      <c r="R153" s="455">
        <f t="shared" si="104"/>
        <v>88.81578947368422</v>
      </c>
      <c r="S153" s="2">
        <f t="shared" si="105"/>
        <v>153</v>
      </c>
      <c r="T153" s="238">
        <f t="shared" si="106"/>
        <v>11.184210526315789</v>
      </c>
      <c r="U153" s="217" t="s">
        <v>507</v>
      </c>
      <c r="V153" s="2"/>
      <c r="W153" s="245"/>
    </row>
    <row r="154" spans="1:23" ht="12.4" customHeight="1" x14ac:dyDescent="0.25">
      <c r="A154" s="469"/>
      <c r="B154" s="445"/>
      <c r="C154" s="446"/>
      <c r="D154" s="446"/>
      <c r="E154" s="445"/>
      <c r="F154" s="448"/>
      <c r="G154" s="445"/>
      <c r="H154" s="448"/>
      <c r="I154" s="445"/>
      <c r="J154" s="448"/>
      <c r="K154" s="445"/>
      <c r="L154" s="449"/>
      <c r="M154" s="445"/>
      <c r="N154" s="449"/>
      <c r="O154" s="445"/>
      <c r="P154" s="449"/>
      <c r="Q154" s="446"/>
      <c r="R154" s="450">
        <f>(R145+R146+R147+R148+R149+R150+R151+R152+R153)/9</f>
        <v>78.804741981284124</v>
      </c>
      <c r="S154" s="446"/>
      <c r="T154" s="451"/>
      <c r="U154" s="452"/>
      <c r="V154" s="446"/>
      <c r="W154" s="454"/>
    </row>
    <row r="155" spans="1:23" ht="12" customHeight="1" x14ac:dyDescent="0.25">
      <c r="A155" s="469" t="s">
        <v>612</v>
      </c>
      <c r="B155" s="471" t="s">
        <v>23</v>
      </c>
      <c r="C155" s="471"/>
      <c r="D155" s="243">
        <f>SUM(D145:D153)</f>
        <v>51951</v>
      </c>
      <c r="E155" s="225">
        <f>SUM(E145:E153)</f>
        <v>9559</v>
      </c>
      <c r="F155" s="225"/>
      <c r="G155" s="225">
        <f>SUM(G145:G153)</f>
        <v>5340</v>
      </c>
      <c r="H155" s="225"/>
      <c r="I155" s="225">
        <f>SUM(I145:I153)</f>
        <v>21822</v>
      </c>
      <c r="J155" s="239"/>
      <c r="K155" s="225">
        <f>SUM(K145:K153)</f>
        <v>45</v>
      </c>
      <c r="L155" s="225"/>
      <c r="M155" s="225">
        <f>SUM(M145:M153)</f>
        <v>0</v>
      </c>
      <c r="N155" s="98"/>
      <c r="O155" s="225">
        <f>SUM(O145:O153)</f>
        <v>1250</v>
      </c>
      <c r="P155" s="225"/>
      <c r="Q155" s="225">
        <f>SUM(Q145:Q153)</f>
        <v>38016</v>
      </c>
      <c r="R155" s="225"/>
      <c r="S155" s="225">
        <f>SUM(S145:S153)</f>
        <v>13935</v>
      </c>
      <c r="T155" s="240"/>
      <c r="U155" s="225"/>
      <c r="V155" s="225"/>
    </row>
    <row r="156" spans="1:23" ht="12.2" customHeight="1" x14ac:dyDescent="0.25">
      <c r="A156" s="231"/>
      <c r="B156" s="493" t="s">
        <v>25</v>
      </c>
      <c r="C156" s="494"/>
      <c r="D156" s="246">
        <f>D155+D143+D124+D106+D82+D69+D54+D45+D28+D15</f>
        <v>710507</v>
      </c>
      <c r="E156" s="246">
        <f>E155+E143+E124+E106+E82+E69+E54+E45+E28+E15</f>
        <v>158252</v>
      </c>
      <c r="F156" s="225"/>
      <c r="G156" s="246">
        <f>G155+G143+G124+G106+G82+G69+G54+G45+G28+G15</f>
        <v>59249</v>
      </c>
      <c r="H156" s="225"/>
      <c r="I156" s="246">
        <f>I155+I143+I124+I106+I82+I69+I54+I45+I28+I15</f>
        <v>239522</v>
      </c>
      <c r="J156" s="239"/>
      <c r="K156" s="246">
        <f>K155+K143+K124+K106+K82+K69+K54+K45+K28+K15</f>
        <v>2981</v>
      </c>
      <c r="L156" s="225"/>
      <c r="M156" s="246">
        <f>M155+M143+M124+M106+M82+M69+M54+M45+M28+M15</f>
        <v>0</v>
      </c>
      <c r="N156" s="225"/>
      <c r="O156" s="246">
        <f>O155+O143+O124+O106+O82+O69+O54+O45+O28+O15</f>
        <v>2384</v>
      </c>
      <c r="P156" s="225"/>
      <c r="Q156" s="246">
        <f>Q155+Q143+Q124+Q106+Q82+Q69+Q54+Q45+Q28+Q15</f>
        <v>462388</v>
      </c>
      <c r="R156" s="225"/>
      <c r="S156" s="246">
        <f>S155+S143+S124+S106+S82+S69+S54+S45+S28+S15</f>
        <v>248119</v>
      </c>
      <c r="T156" s="240"/>
      <c r="U156" s="225"/>
      <c r="V156" s="225"/>
    </row>
    <row r="157" spans="1:23" x14ac:dyDescent="0.25">
      <c r="R157" s="456"/>
    </row>
    <row r="158" spans="1:23" ht="19.5" x14ac:dyDescent="0.3">
      <c r="R158" s="457">
        <f>(R14+R27+R44+R53+R68+R81+R105+R123+R142+R154)/10</f>
        <v>67.224274337225623</v>
      </c>
    </row>
  </sheetData>
  <mergeCells count="45">
    <mergeCell ref="B156:C156"/>
    <mergeCell ref="A125:A143"/>
    <mergeCell ref="B125:C125"/>
    <mergeCell ref="B143:C143"/>
    <mergeCell ref="A144:A155"/>
    <mergeCell ref="B144:C144"/>
    <mergeCell ref="B155:C155"/>
    <mergeCell ref="A83:A106"/>
    <mergeCell ref="B83:C83"/>
    <mergeCell ref="B106:C106"/>
    <mergeCell ref="A107:A124"/>
    <mergeCell ref="B107:C107"/>
    <mergeCell ref="B124:C124"/>
    <mergeCell ref="A55:A69"/>
    <mergeCell ref="B55:C55"/>
    <mergeCell ref="B69:C69"/>
    <mergeCell ref="A70:A82"/>
    <mergeCell ref="B70:C70"/>
    <mergeCell ref="B82:C82"/>
    <mergeCell ref="A29:A45"/>
    <mergeCell ref="B29:C29"/>
    <mergeCell ref="B45:C45"/>
    <mergeCell ref="A46:A54"/>
    <mergeCell ref="B46:C46"/>
    <mergeCell ref="B54:C54"/>
    <mergeCell ref="A4:A15"/>
    <mergeCell ref="B4:C4"/>
    <mergeCell ref="B15:C15"/>
    <mergeCell ref="A16:A28"/>
    <mergeCell ref="B16:C16"/>
    <mergeCell ref="B28:C28"/>
    <mergeCell ref="S1:T2"/>
    <mergeCell ref="U1:V2"/>
    <mergeCell ref="E2:F2"/>
    <mergeCell ref="G2:H2"/>
    <mergeCell ref="I2:J2"/>
    <mergeCell ref="K2:L2"/>
    <mergeCell ref="M2:N2"/>
    <mergeCell ref="O2:P2"/>
    <mergeCell ref="Q1:R2"/>
    <mergeCell ref="A1:A3"/>
    <mergeCell ref="B1:C3"/>
    <mergeCell ref="D1:D3"/>
    <mergeCell ref="E1:H1"/>
    <mergeCell ref="I1:P1"/>
  </mergeCells>
  <printOptions horizontalCentered="1"/>
  <pageMargins left="0.23622047244094491" right="0.23622047244094491" top="0.74803149606299213" bottom="0.74803149606299213" header="0.31496062992125984" footer="0.31496062992125984"/>
  <pageSetup paperSize="175" scale="88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51"/>
  <sheetViews>
    <sheetView view="pageBreakPreview" zoomScale="130" zoomScaleNormal="115" zoomScaleSheetLayoutView="130" workbookViewId="0">
      <pane xSplit="3" ySplit="3" topLeftCell="G43" activePane="bottomRight" state="frozen"/>
      <selection pane="topRight"/>
      <selection pane="bottomLeft"/>
      <selection pane="bottomRight" activeCell="K47" sqref="K47"/>
    </sheetView>
  </sheetViews>
  <sheetFormatPr defaultColWidth="9.140625" defaultRowHeight="14.25" x14ac:dyDescent="0.2"/>
  <cols>
    <col min="1" max="1" width="4" style="249" customWidth="1"/>
    <col min="2" max="2" width="3.28515625" style="249" customWidth="1"/>
    <col min="3" max="3" width="21.42578125" style="249" customWidth="1"/>
    <col min="4" max="4" width="9.85546875" style="249" customWidth="1"/>
    <col min="5" max="5" width="6.5703125" style="249" customWidth="1"/>
    <col min="6" max="6" width="8.7109375" style="249" customWidth="1"/>
    <col min="7" max="7" width="7.42578125" style="249" customWidth="1"/>
    <col min="8" max="8" width="7.140625" style="249" customWidth="1"/>
    <col min="9" max="9" width="6.42578125" style="249" customWidth="1"/>
    <col min="10" max="10" width="7.140625" style="249" customWidth="1"/>
    <col min="11" max="11" width="5.42578125" style="249" customWidth="1"/>
    <col min="12" max="12" width="6.85546875" style="249" customWidth="1"/>
    <col min="13" max="13" width="6.42578125" style="249" customWidth="1"/>
    <col min="14" max="14" width="7.140625" style="249" customWidth="1"/>
    <col min="15" max="15" width="6.42578125" style="249" customWidth="1"/>
    <col min="16" max="16" width="7.140625" style="249" customWidth="1"/>
    <col min="17" max="17" width="7.42578125" style="249" customWidth="1"/>
    <col min="18" max="18" width="7.140625" style="249" customWidth="1"/>
    <col min="19" max="19" width="6.42578125" style="249" customWidth="1"/>
    <col min="20" max="20" width="7.140625" style="249" customWidth="1"/>
    <col min="21" max="22" width="5.85546875" style="266" customWidth="1"/>
    <col min="23" max="16384" width="9.140625" style="249"/>
  </cols>
  <sheetData>
    <row r="1" spans="1:22" ht="15.2" customHeight="1" x14ac:dyDescent="0.2">
      <c r="A1" s="495" t="s">
        <v>723</v>
      </c>
      <c r="B1" s="495" t="s">
        <v>724</v>
      </c>
      <c r="C1" s="495"/>
      <c r="D1" s="495" t="s">
        <v>256</v>
      </c>
      <c r="E1" s="497" t="s">
        <v>2</v>
      </c>
      <c r="F1" s="497"/>
      <c r="G1" s="497"/>
      <c r="H1" s="497"/>
      <c r="I1" s="497" t="s">
        <v>3</v>
      </c>
      <c r="J1" s="497"/>
      <c r="K1" s="497"/>
      <c r="L1" s="497"/>
      <c r="M1" s="497"/>
      <c r="N1" s="497"/>
      <c r="O1" s="497"/>
      <c r="P1" s="497"/>
      <c r="Q1" s="497" t="s">
        <v>725</v>
      </c>
      <c r="R1" s="497"/>
      <c r="S1" s="497" t="s">
        <v>726</v>
      </c>
      <c r="T1" s="497"/>
      <c r="U1" s="497" t="s">
        <v>26</v>
      </c>
      <c r="V1" s="497"/>
    </row>
    <row r="2" spans="1:22" ht="31.5" customHeight="1" x14ac:dyDescent="0.2">
      <c r="A2" s="495" t="s">
        <v>723</v>
      </c>
      <c r="B2" s="495" t="s">
        <v>724</v>
      </c>
      <c r="C2" s="496"/>
      <c r="D2" s="495" t="s">
        <v>256</v>
      </c>
      <c r="E2" s="497" t="s">
        <v>727</v>
      </c>
      <c r="F2" s="497"/>
      <c r="G2" s="497" t="s">
        <v>728</v>
      </c>
      <c r="H2" s="497"/>
      <c r="I2" s="497" t="s">
        <v>729</v>
      </c>
      <c r="J2" s="497"/>
      <c r="K2" s="497" t="s">
        <v>730</v>
      </c>
      <c r="L2" s="497"/>
      <c r="M2" s="497" t="s">
        <v>731</v>
      </c>
      <c r="N2" s="497"/>
      <c r="O2" s="497" t="s">
        <v>732</v>
      </c>
      <c r="P2" s="497"/>
      <c r="Q2" s="497" t="s">
        <v>725</v>
      </c>
      <c r="R2" s="496"/>
      <c r="S2" s="497" t="s">
        <v>726</v>
      </c>
      <c r="T2" s="496"/>
      <c r="U2" s="497" t="s">
        <v>726</v>
      </c>
      <c r="V2" s="498"/>
    </row>
    <row r="3" spans="1:22" ht="12.95" customHeight="1" x14ac:dyDescent="0.2">
      <c r="A3" s="495" t="s">
        <v>723</v>
      </c>
      <c r="B3" s="495" t="s">
        <v>724</v>
      </c>
      <c r="C3" s="496"/>
      <c r="D3" s="495" t="s">
        <v>256</v>
      </c>
      <c r="E3" s="250" t="s">
        <v>12</v>
      </c>
      <c r="F3" s="250" t="s">
        <v>13</v>
      </c>
      <c r="G3" s="250" t="s">
        <v>14</v>
      </c>
      <c r="H3" s="250" t="s">
        <v>15</v>
      </c>
      <c r="I3" s="250" t="s">
        <v>14</v>
      </c>
      <c r="J3" s="250" t="s">
        <v>13</v>
      </c>
      <c r="K3" s="250" t="s">
        <v>14</v>
      </c>
      <c r="L3" s="250" t="s">
        <v>16</v>
      </c>
      <c r="M3" s="250" t="s">
        <v>17</v>
      </c>
      <c r="N3" s="250" t="s">
        <v>16</v>
      </c>
      <c r="O3" s="250" t="s">
        <v>17</v>
      </c>
      <c r="P3" s="250" t="s">
        <v>18</v>
      </c>
      <c r="Q3" s="250" t="s">
        <v>19</v>
      </c>
      <c r="R3" s="250" t="s">
        <v>15</v>
      </c>
      <c r="S3" s="250" t="s">
        <v>20</v>
      </c>
      <c r="T3" s="250" t="s">
        <v>21</v>
      </c>
      <c r="U3" s="250" t="s">
        <v>27</v>
      </c>
      <c r="V3" s="250" t="s">
        <v>28</v>
      </c>
    </row>
    <row r="4" spans="1:22" ht="12" customHeight="1" x14ac:dyDescent="0.2">
      <c r="A4" s="499" t="s">
        <v>733</v>
      </c>
      <c r="B4" s="500" t="s">
        <v>734</v>
      </c>
      <c r="C4" s="500"/>
      <c r="D4" s="251"/>
      <c r="E4" s="252"/>
      <c r="F4" s="253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4"/>
      <c r="S4" s="252"/>
      <c r="T4" s="254"/>
      <c r="U4" s="255"/>
      <c r="V4" s="255"/>
    </row>
    <row r="5" spans="1:22" ht="12.75" customHeight="1" x14ac:dyDescent="0.2">
      <c r="A5" s="499" t="s">
        <v>733</v>
      </c>
      <c r="B5" s="256">
        <v>1</v>
      </c>
      <c r="C5" s="256" t="s">
        <v>735</v>
      </c>
      <c r="D5" s="257">
        <v>9426</v>
      </c>
      <c r="E5" s="257">
        <f>20*3.69</f>
        <v>73.8</v>
      </c>
      <c r="F5" s="258">
        <f>E5/D5</f>
        <v>7.829408020369192E-3</v>
      </c>
      <c r="G5" s="257">
        <f>Q5-O5-M5-K5-I5-E5</f>
        <v>6658.5</v>
      </c>
      <c r="H5" s="258">
        <f>G5/D5</f>
        <v>0.70639719923615529</v>
      </c>
      <c r="I5" s="257">
        <f>470*3.69</f>
        <v>1734.3</v>
      </c>
      <c r="J5" s="258">
        <f>I5/D5</f>
        <v>0.18399108847867598</v>
      </c>
      <c r="K5" s="257">
        <f>60*3.69</f>
        <v>221.4</v>
      </c>
      <c r="L5" s="258">
        <f>K5/D5</f>
        <v>2.3488224061107576E-2</v>
      </c>
      <c r="M5" s="257">
        <v>0</v>
      </c>
      <c r="N5" s="258">
        <f>M5/D5</f>
        <v>0</v>
      </c>
      <c r="O5" s="257">
        <v>0</v>
      </c>
      <c r="P5" s="258">
        <f>O5/D5</f>
        <v>0</v>
      </c>
      <c r="Q5" s="257">
        <f>ROUND((D5*R5),0)</f>
        <v>8688</v>
      </c>
      <c r="R5" s="258">
        <f>1-T5</f>
        <v>0.92170591979630812</v>
      </c>
      <c r="S5" s="257">
        <v>738</v>
      </c>
      <c r="T5" s="258">
        <f>S5/D5</f>
        <v>7.8294080203691913E-2</v>
      </c>
      <c r="U5" s="259" t="s">
        <v>736</v>
      </c>
      <c r="V5" s="259"/>
    </row>
    <row r="6" spans="1:22" ht="12.4" customHeight="1" x14ac:dyDescent="0.2">
      <c r="A6" s="499" t="s">
        <v>733</v>
      </c>
      <c r="B6" s="256">
        <f>B5+1</f>
        <v>2</v>
      </c>
      <c r="C6" s="256" t="s">
        <v>737</v>
      </c>
      <c r="D6" s="257">
        <v>9426</v>
      </c>
      <c r="E6" s="260">
        <f>28*3.69</f>
        <v>103.32</v>
      </c>
      <c r="F6" s="258">
        <f>E6/D6</f>
        <v>1.0961171228516867E-2</v>
      </c>
      <c r="G6" s="257">
        <f>Q6-O6-M6-K6-I6-E6</f>
        <v>4270.7699999999995</v>
      </c>
      <c r="H6" s="258">
        <f>G6/D6</f>
        <v>0.4530840229153405</v>
      </c>
      <c r="I6" s="257">
        <f>1098*3.69</f>
        <v>4051.62</v>
      </c>
      <c r="J6" s="258">
        <f>I6/D6</f>
        <v>0.42983450031826859</v>
      </c>
      <c r="K6" s="257">
        <f>141*3.69</f>
        <v>520.29</v>
      </c>
      <c r="L6" s="258">
        <f>K6/D6</f>
        <v>5.51973265436028E-2</v>
      </c>
      <c r="M6" s="257">
        <v>0</v>
      </c>
      <c r="N6" s="258">
        <f>M6/D6</f>
        <v>0</v>
      </c>
      <c r="O6" s="257">
        <v>0</v>
      </c>
      <c r="P6" s="258">
        <f>O6/D6</f>
        <v>0</v>
      </c>
      <c r="Q6" s="257">
        <f>ROUND((D6*R6),0)</f>
        <v>8946</v>
      </c>
      <c r="R6" s="258">
        <f>1-T6</f>
        <v>0.94907702100572888</v>
      </c>
      <c r="S6" s="257">
        <v>480</v>
      </c>
      <c r="T6" s="258">
        <f t="shared" ref="T6:T9" si="0">S6/D6</f>
        <v>5.0922978994271166E-2</v>
      </c>
      <c r="U6" s="259" t="s">
        <v>736</v>
      </c>
      <c r="V6" s="259"/>
    </row>
    <row r="7" spans="1:22" ht="12.6" customHeight="1" x14ac:dyDescent="0.2">
      <c r="A7" s="499" t="s">
        <v>733</v>
      </c>
      <c r="B7" s="256">
        <f>B6+1</f>
        <v>3</v>
      </c>
      <c r="C7" s="256" t="s">
        <v>738</v>
      </c>
      <c r="D7" s="257">
        <v>9299</v>
      </c>
      <c r="E7" s="257">
        <v>0</v>
      </c>
      <c r="F7" s="258">
        <f>E7/D7</f>
        <v>0</v>
      </c>
      <c r="G7" s="257">
        <f>Q7-O7-M7-K7-I7-E7</f>
        <v>4004.2799999999997</v>
      </c>
      <c r="H7" s="258">
        <f>G7/D7</f>
        <v>0.43061404452091617</v>
      </c>
      <c r="I7" s="257">
        <f>962*3.16</f>
        <v>3039.92</v>
      </c>
      <c r="J7" s="258">
        <f>I7/D7</f>
        <v>0.32690826970642006</v>
      </c>
      <c r="K7" s="257">
        <f>3*3.16*10</f>
        <v>94.800000000000011</v>
      </c>
      <c r="L7" s="258">
        <f>K7/D7</f>
        <v>1.0194644585439295E-2</v>
      </c>
      <c r="M7" s="257">
        <v>0</v>
      </c>
      <c r="N7" s="258">
        <f>M7/D7</f>
        <v>0</v>
      </c>
      <c r="O7" s="257">
        <v>0</v>
      </c>
      <c r="P7" s="258">
        <f>O7/D7</f>
        <v>0</v>
      </c>
      <c r="Q7" s="257">
        <f>ROUND((D7*R7),0)</f>
        <v>7139</v>
      </c>
      <c r="R7" s="258">
        <f>1-T7</f>
        <v>0.76771695881277557</v>
      </c>
      <c r="S7" s="257">
        <v>2160</v>
      </c>
      <c r="T7" s="258">
        <f t="shared" si="0"/>
        <v>0.23228304118722443</v>
      </c>
      <c r="U7" s="259" t="s">
        <v>736</v>
      </c>
      <c r="V7" s="259"/>
    </row>
    <row r="8" spans="1:22" ht="12.4" customHeight="1" x14ac:dyDescent="0.2">
      <c r="A8" s="499" t="s">
        <v>733</v>
      </c>
      <c r="B8" s="256">
        <f>B7+1</f>
        <v>4</v>
      </c>
      <c r="C8" s="256" t="s">
        <v>739</v>
      </c>
      <c r="D8" s="257">
        <v>9233</v>
      </c>
      <c r="E8" s="257">
        <f>42*3.26</f>
        <v>136.91999999999999</v>
      </c>
      <c r="F8" s="258">
        <f>E8/D8</f>
        <v>1.4829416224412433E-2</v>
      </c>
      <c r="G8" s="257">
        <f>Q8-O8-M8-K8-I8-E8</f>
        <v>5921.1799999999994</v>
      </c>
      <c r="H8" s="258">
        <f>G8/D8</f>
        <v>0.64130618433878472</v>
      </c>
      <c r="I8" s="257">
        <f>255*3.26</f>
        <v>831.3</v>
      </c>
      <c r="J8" s="258">
        <f>I8/D8</f>
        <v>9.0035741362504057E-2</v>
      </c>
      <c r="K8" s="257">
        <f>210*3.26</f>
        <v>684.59999999999991</v>
      </c>
      <c r="L8" s="258">
        <f>K8/D8</f>
        <v>7.4147081122062156E-2</v>
      </c>
      <c r="M8" s="257">
        <v>0</v>
      </c>
      <c r="N8" s="258">
        <f>M8/D8</f>
        <v>0</v>
      </c>
      <c r="O8" s="257">
        <v>0</v>
      </c>
      <c r="P8" s="258">
        <f>O8/D8</f>
        <v>0</v>
      </c>
      <c r="Q8" s="257">
        <f>ROUND((D8*R8),0)</f>
        <v>7574</v>
      </c>
      <c r="R8" s="258">
        <f>1-T8</f>
        <v>0.82031842304776348</v>
      </c>
      <c r="S8" s="257">
        <v>1659</v>
      </c>
      <c r="T8" s="258">
        <f t="shared" si="0"/>
        <v>0.17968157695223655</v>
      </c>
      <c r="U8" s="259" t="s">
        <v>736</v>
      </c>
      <c r="V8" s="259"/>
    </row>
    <row r="9" spans="1:22" ht="12.2" customHeight="1" x14ac:dyDescent="0.2">
      <c r="A9" s="499" t="s">
        <v>733</v>
      </c>
      <c r="B9" s="501" t="s">
        <v>23</v>
      </c>
      <c r="C9" s="501"/>
      <c r="D9" s="261">
        <f>SUM(D5:D8)</f>
        <v>37384</v>
      </c>
      <c r="E9" s="261">
        <f t="shared" ref="E9:S9" si="1">SUM(E5:E8)</f>
        <v>314.03999999999996</v>
      </c>
      <c r="F9" s="262">
        <f>E9/D9</f>
        <v>8.4003851915257846E-3</v>
      </c>
      <c r="G9" s="261">
        <f t="shared" si="1"/>
        <v>20854.73</v>
      </c>
      <c r="H9" s="262">
        <f>G9/D9</f>
        <v>0.55785175476139526</v>
      </c>
      <c r="I9" s="261">
        <f t="shared" si="1"/>
        <v>9657.14</v>
      </c>
      <c r="J9" s="262">
        <f>I9/D9</f>
        <v>0.25832281189813822</v>
      </c>
      <c r="K9" s="261">
        <f t="shared" si="1"/>
        <v>1521.09</v>
      </c>
      <c r="L9" s="262">
        <f>K9/D9</f>
        <v>4.0688262358228117E-2</v>
      </c>
      <c r="M9" s="261">
        <f t="shared" si="1"/>
        <v>0</v>
      </c>
      <c r="N9" s="262">
        <f>M9/D9</f>
        <v>0</v>
      </c>
      <c r="O9" s="261">
        <f t="shared" si="1"/>
        <v>0</v>
      </c>
      <c r="P9" s="262">
        <f>O9/D9</f>
        <v>0</v>
      </c>
      <c r="Q9" s="261">
        <f t="shared" si="1"/>
        <v>32347</v>
      </c>
      <c r="R9" s="262">
        <f>Q9/D9</f>
        <v>0.86526321420928742</v>
      </c>
      <c r="S9" s="261">
        <f t="shared" si="1"/>
        <v>5037</v>
      </c>
      <c r="T9" s="262">
        <f t="shared" si="0"/>
        <v>0.1347367857907126</v>
      </c>
      <c r="U9" s="263"/>
      <c r="V9" s="263"/>
    </row>
    <row r="10" spans="1:22" ht="12.2" customHeight="1" x14ac:dyDescent="0.2">
      <c r="A10" s="499" t="s">
        <v>740</v>
      </c>
      <c r="B10" s="500" t="s">
        <v>741</v>
      </c>
      <c r="C10" s="500"/>
      <c r="D10" s="251"/>
      <c r="E10" s="252"/>
      <c r="F10" s="254"/>
      <c r="G10" s="252"/>
      <c r="H10" s="254"/>
      <c r="I10" s="252"/>
      <c r="J10" s="254"/>
      <c r="K10" s="252"/>
      <c r="L10" s="254"/>
      <c r="M10" s="252"/>
      <c r="N10" s="254"/>
      <c r="O10" s="252"/>
      <c r="P10" s="254"/>
      <c r="Q10" s="252"/>
      <c r="R10" s="254"/>
      <c r="S10" s="252"/>
      <c r="T10" s="254"/>
      <c r="U10" s="255"/>
      <c r="V10" s="255"/>
    </row>
    <row r="11" spans="1:22" ht="12.75" customHeight="1" x14ac:dyDescent="0.2">
      <c r="A11" s="499" t="s">
        <v>740</v>
      </c>
      <c r="B11" s="256">
        <f>B8+1</f>
        <v>5</v>
      </c>
      <c r="C11" s="256" t="s">
        <v>742</v>
      </c>
      <c r="D11" s="257">
        <v>8788</v>
      </c>
      <c r="E11" s="257">
        <f>177*3</f>
        <v>531</v>
      </c>
      <c r="F11" s="258">
        <f t="shared" ref="F11:F16" si="2">E11/D11</f>
        <v>6.0423304506144741E-2</v>
      </c>
      <c r="G11" s="257">
        <f t="shared" ref="G11:G15" si="3">Q11-O11-M11-K11-I11-E11</f>
        <v>1399</v>
      </c>
      <c r="H11" s="258">
        <f t="shared" ref="H11:H16" si="4">G11/D11</f>
        <v>0.15919435593991807</v>
      </c>
      <c r="I11" s="257">
        <f>1374*3</f>
        <v>4122</v>
      </c>
      <c r="J11" s="258">
        <f t="shared" ref="J11:J16" si="5">I11/D11</f>
        <v>0.46904870277651345</v>
      </c>
      <c r="K11" s="257">
        <f>488*3</f>
        <v>1464</v>
      </c>
      <c r="L11" s="258">
        <f t="shared" ref="L11:L16" si="6">K11/D11</f>
        <v>0.16659080564406009</v>
      </c>
      <c r="M11" s="257">
        <v>0</v>
      </c>
      <c r="N11" s="258">
        <f t="shared" ref="N11:N16" si="7">M11/D11</f>
        <v>0</v>
      </c>
      <c r="O11" s="257">
        <v>0</v>
      </c>
      <c r="P11" s="258">
        <f t="shared" ref="P11:P16" si="8">O11/D11</f>
        <v>0</v>
      </c>
      <c r="Q11" s="257">
        <f t="shared" ref="Q11:Q15" si="9">ROUND((D11*R11),0)</f>
        <v>7516</v>
      </c>
      <c r="R11" s="258">
        <f t="shared" ref="R11:R15" si="10">1-T11</f>
        <v>0.85525716886663639</v>
      </c>
      <c r="S11" s="257">
        <v>1272</v>
      </c>
      <c r="T11" s="258">
        <f t="shared" ref="T11:T51" si="11">S11/D11</f>
        <v>0.14474283113336367</v>
      </c>
      <c r="U11" s="259" t="s">
        <v>736</v>
      </c>
      <c r="V11" s="259"/>
    </row>
    <row r="12" spans="1:22" ht="12.4" customHeight="1" x14ac:dyDescent="0.2">
      <c r="A12" s="499" t="s">
        <v>740</v>
      </c>
      <c r="B12" s="256">
        <f>B11+1</f>
        <v>6</v>
      </c>
      <c r="C12" s="256" t="s">
        <v>743</v>
      </c>
      <c r="D12" s="257">
        <v>2901</v>
      </c>
      <c r="E12" s="257">
        <v>0</v>
      </c>
      <c r="F12" s="258">
        <f t="shared" si="2"/>
        <v>0</v>
      </c>
      <c r="G12" s="257">
        <f t="shared" si="3"/>
        <v>2432</v>
      </c>
      <c r="H12" s="258">
        <f t="shared" si="4"/>
        <v>0.83833160978972765</v>
      </c>
      <c r="I12" s="257">
        <v>0</v>
      </c>
      <c r="J12" s="258">
        <f t="shared" si="5"/>
        <v>0</v>
      </c>
      <c r="K12" s="257">
        <v>0</v>
      </c>
      <c r="L12" s="258">
        <f t="shared" si="6"/>
        <v>0</v>
      </c>
      <c r="M12" s="257">
        <v>0</v>
      </c>
      <c r="N12" s="258">
        <f t="shared" si="7"/>
        <v>0</v>
      </c>
      <c r="O12" s="257">
        <v>0</v>
      </c>
      <c r="P12" s="258">
        <f t="shared" si="8"/>
        <v>0</v>
      </c>
      <c r="Q12" s="257">
        <f t="shared" si="9"/>
        <v>2432</v>
      </c>
      <c r="R12" s="258">
        <f t="shared" si="10"/>
        <v>0.83833160978972765</v>
      </c>
      <c r="S12" s="257">
        <v>469</v>
      </c>
      <c r="T12" s="258">
        <f t="shared" si="11"/>
        <v>0.16166839021027232</v>
      </c>
      <c r="U12" s="259" t="s">
        <v>736</v>
      </c>
      <c r="V12" s="259"/>
    </row>
    <row r="13" spans="1:22" ht="12.6" customHeight="1" x14ac:dyDescent="0.2">
      <c r="A13" s="499" t="s">
        <v>740</v>
      </c>
      <c r="B13" s="256">
        <f>B12+1</f>
        <v>7</v>
      </c>
      <c r="C13" s="256" t="s">
        <v>744</v>
      </c>
      <c r="D13" s="257">
        <v>11299</v>
      </c>
      <c r="E13" s="257">
        <f>263*3.18</f>
        <v>836.34</v>
      </c>
      <c r="F13" s="258">
        <f t="shared" si="2"/>
        <v>7.401893972917957E-2</v>
      </c>
      <c r="G13" s="257">
        <f t="shared" si="3"/>
        <v>5905.52</v>
      </c>
      <c r="H13" s="258">
        <f t="shared" si="4"/>
        <v>0.52265864235773085</v>
      </c>
      <c r="I13" s="257">
        <v>2414</v>
      </c>
      <c r="J13" s="258">
        <f t="shared" si="5"/>
        <v>0.2136472254181786</v>
      </c>
      <c r="K13" s="257">
        <f>123*3.18</f>
        <v>391.14000000000004</v>
      </c>
      <c r="L13" s="258">
        <f t="shared" si="6"/>
        <v>3.4617222763076383E-2</v>
      </c>
      <c r="M13" s="257">
        <v>0</v>
      </c>
      <c r="N13" s="258">
        <f t="shared" si="7"/>
        <v>0</v>
      </c>
      <c r="O13" s="257">
        <v>0</v>
      </c>
      <c r="P13" s="258">
        <f t="shared" si="8"/>
        <v>0</v>
      </c>
      <c r="Q13" s="257">
        <f t="shared" si="9"/>
        <v>9547</v>
      </c>
      <c r="R13" s="258">
        <f t="shared" si="10"/>
        <v>0.84494203026816539</v>
      </c>
      <c r="S13" s="257">
        <v>1752</v>
      </c>
      <c r="T13" s="258">
        <f t="shared" si="11"/>
        <v>0.15505796973183467</v>
      </c>
      <c r="U13" s="259" t="s">
        <v>736</v>
      </c>
      <c r="V13" s="259"/>
    </row>
    <row r="14" spans="1:22" ht="12.4" customHeight="1" x14ac:dyDescent="0.2">
      <c r="A14" s="499" t="s">
        <v>740</v>
      </c>
      <c r="B14" s="256">
        <f>B13+1</f>
        <v>8</v>
      </c>
      <c r="C14" s="256" t="s">
        <v>745</v>
      </c>
      <c r="D14" s="257">
        <v>6052</v>
      </c>
      <c r="E14" s="257">
        <f>257*3.09</f>
        <v>794.13</v>
      </c>
      <c r="F14" s="258">
        <f t="shared" si="2"/>
        <v>0.13121777924653008</v>
      </c>
      <c r="G14" s="257">
        <f t="shared" si="3"/>
        <v>4895.7299999999996</v>
      </c>
      <c r="H14" s="258">
        <f t="shared" si="4"/>
        <v>0.8089441506939854</v>
      </c>
      <c r="I14" s="257">
        <v>0</v>
      </c>
      <c r="J14" s="258">
        <f t="shared" si="5"/>
        <v>0</v>
      </c>
      <c r="K14" s="257">
        <f>46*3.09</f>
        <v>142.13999999999999</v>
      </c>
      <c r="L14" s="258">
        <f t="shared" si="6"/>
        <v>2.3486450760079311E-2</v>
      </c>
      <c r="M14" s="257">
        <v>0</v>
      </c>
      <c r="N14" s="258">
        <f t="shared" si="7"/>
        <v>0</v>
      </c>
      <c r="O14" s="257">
        <v>0</v>
      </c>
      <c r="P14" s="258">
        <f t="shared" si="8"/>
        <v>0</v>
      </c>
      <c r="Q14" s="257">
        <f t="shared" si="9"/>
        <v>5832</v>
      </c>
      <c r="R14" s="258">
        <f t="shared" si="10"/>
        <v>0.96364838070059489</v>
      </c>
      <c r="S14" s="257">
        <v>220</v>
      </c>
      <c r="T14" s="258">
        <f t="shared" si="11"/>
        <v>3.6351619299405155E-2</v>
      </c>
      <c r="U14" s="259" t="s">
        <v>736</v>
      </c>
      <c r="V14" s="259"/>
    </row>
    <row r="15" spans="1:22" ht="12.4" customHeight="1" x14ac:dyDescent="0.2">
      <c r="A15" s="499"/>
      <c r="B15" s="256">
        <f>B14+1</f>
        <v>9</v>
      </c>
      <c r="C15" s="256" t="s">
        <v>746</v>
      </c>
      <c r="D15" s="257">
        <v>5054</v>
      </c>
      <c r="E15" s="260">
        <f>274*3.17</f>
        <v>868.57999999999993</v>
      </c>
      <c r="F15" s="258">
        <f t="shared" si="2"/>
        <v>0.17185991294024533</v>
      </c>
      <c r="G15" s="257">
        <f t="shared" si="3"/>
        <v>2845.25</v>
      </c>
      <c r="H15" s="258">
        <f t="shared" si="4"/>
        <v>0.56296992481203012</v>
      </c>
      <c r="I15" s="257">
        <v>0</v>
      </c>
      <c r="J15" s="258">
        <f t="shared" si="5"/>
        <v>0</v>
      </c>
      <c r="K15" s="257">
        <f>1*3.17</f>
        <v>3.17</v>
      </c>
      <c r="L15" s="258">
        <f t="shared" si="6"/>
        <v>6.2722595963593194E-4</v>
      </c>
      <c r="M15" s="257">
        <v>0</v>
      </c>
      <c r="N15" s="258">
        <f t="shared" si="7"/>
        <v>0</v>
      </c>
      <c r="O15" s="257">
        <v>0</v>
      </c>
      <c r="P15" s="258">
        <f t="shared" si="8"/>
        <v>0</v>
      </c>
      <c r="Q15" s="257">
        <f t="shared" si="9"/>
        <v>3717</v>
      </c>
      <c r="R15" s="264">
        <f t="shared" si="10"/>
        <v>0.73545706371191133</v>
      </c>
      <c r="S15" s="257">
        <v>1337</v>
      </c>
      <c r="T15" s="258">
        <f t="shared" si="11"/>
        <v>0.26454293628808867</v>
      </c>
      <c r="U15" s="259" t="s">
        <v>736</v>
      </c>
      <c r="V15" s="259"/>
    </row>
    <row r="16" spans="1:22" ht="12.2" customHeight="1" x14ac:dyDescent="0.2">
      <c r="A16" s="499" t="s">
        <v>740</v>
      </c>
      <c r="B16" s="501" t="s">
        <v>23</v>
      </c>
      <c r="C16" s="501"/>
      <c r="D16" s="261">
        <f>SUM(D11:D15)</f>
        <v>34094</v>
      </c>
      <c r="E16" s="261">
        <f>SUM(E11:E15)</f>
        <v>3030.05</v>
      </c>
      <c r="F16" s="262">
        <f t="shared" si="2"/>
        <v>8.8873408810934487E-2</v>
      </c>
      <c r="G16" s="261">
        <f>SUM(G11:G15)</f>
        <v>17477.5</v>
      </c>
      <c r="H16" s="262">
        <f t="shared" si="4"/>
        <v>0.51262685516513173</v>
      </c>
      <c r="I16" s="261">
        <f>SUM(I11:I15)</f>
        <v>6536</v>
      </c>
      <c r="J16" s="262">
        <f t="shared" si="5"/>
        <v>0.19170528538745821</v>
      </c>
      <c r="K16" s="261">
        <f>SUM(K11:K15)</f>
        <v>2000.4500000000003</v>
      </c>
      <c r="L16" s="262">
        <f t="shared" si="6"/>
        <v>5.8674546841086417E-2</v>
      </c>
      <c r="M16" s="261">
        <f>SUM(M11:M15)</f>
        <v>0</v>
      </c>
      <c r="N16" s="262">
        <f t="shared" si="7"/>
        <v>0</v>
      </c>
      <c r="O16" s="261">
        <f>SUM(O11:O15)</f>
        <v>0</v>
      </c>
      <c r="P16" s="262">
        <f t="shared" si="8"/>
        <v>0</v>
      </c>
      <c r="Q16" s="261">
        <f>SUM(Q11:Q15)</f>
        <v>29044</v>
      </c>
      <c r="R16" s="262">
        <f>Q16/D16</f>
        <v>0.8518800962046108</v>
      </c>
      <c r="S16" s="261">
        <f t="shared" ref="S16" si="12">SUM(S11:S15)</f>
        <v>5050</v>
      </c>
      <c r="T16" s="262">
        <f t="shared" si="11"/>
        <v>0.14811990379538922</v>
      </c>
      <c r="U16" s="263"/>
      <c r="V16" s="263"/>
    </row>
    <row r="17" spans="1:22" ht="12.2" customHeight="1" x14ac:dyDescent="0.2">
      <c r="A17" s="499">
        <v>3</v>
      </c>
      <c r="B17" s="500" t="s">
        <v>747</v>
      </c>
      <c r="C17" s="500"/>
      <c r="D17" s="251"/>
      <c r="E17" s="252"/>
      <c r="F17" s="254"/>
      <c r="G17" s="252"/>
      <c r="H17" s="254"/>
      <c r="I17" s="252"/>
      <c r="J17" s="254"/>
      <c r="K17" s="252"/>
      <c r="L17" s="254"/>
      <c r="M17" s="252"/>
      <c r="N17" s="254"/>
      <c r="O17" s="252"/>
      <c r="P17" s="254"/>
      <c r="Q17" s="252"/>
      <c r="R17" s="254"/>
      <c r="S17" s="252"/>
      <c r="T17" s="254"/>
      <c r="U17" s="255"/>
      <c r="V17" s="255"/>
    </row>
    <row r="18" spans="1:22" ht="12.75" customHeight="1" x14ac:dyDescent="0.2">
      <c r="A18" s="499" t="s">
        <v>740</v>
      </c>
      <c r="B18" s="256">
        <f>B15+1</f>
        <v>10</v>
      </c>
      <c r="C18" s="256" t="s">
        <v>748</v>
      </c>
      <c r="D18" s="257">
        <v>6067</v>
      </c>
      <c r="E18" s="257">
        <f>1192</f>
        <v>1192</v>
      </c>
      <c r="F18" s="258">
        <f t="shared" ref="F18:F26" si="13">E18/D18</f>
        <v>0.19647272127905061</v>
      </c>
      <c r="G18" s="257">
        <f t="shared" ref="G18:G25" si="14">Q18-O18-M18-K18-I18-E18</f>
        <v>1903.7999999999997</v>
      </c>
      <c r="H18" s="258">
        <f t="shared" ref="H18:H26" si="15">G18/D18</f>
        <v>0.31379594527773197</v>
      </c>
      <c r="I18" s="257">
        <f>9*3.2</f>
        <v>28.8</v>
      </c>
      <c r="J18" s="258">
        <f t="shared" ref="J18:J26" si="16">I18/D18</f>
        <v>4.746991923520686E-3</v>
      </c>
      <c r="K18" s="257">
        <f>287*3.2</f>
        <v>918.40000000000009</v>
      </c>
      <c r="L18" s="258">
        <f t="shared" ref="L18:L26" si="17">K18/D18</f>
        <v>0.15137629800560409</v>
      </c>
      <c r="M18" s="257">
        <v>0</v>
      </c>
      <c r="N18" s="258">
        <f t="shared" ref="N18:N26" si="18">M18/D18</f>
        <v>0</v>
      </c>
      <c r="O18" s="257">
        <v>0</v>
      </c>
      <c r="P18" s="258">
        <f t="shared" ref="P18:P26" si="19">O18/D18</f>
        <v>0</v>
      </c>
      <c r="Q18" s="257">
        <f t="shared" ref="Q18:Q25" si="20">ROUND((D18*R18),0)</f>
        <v>4043</v>
      </c>
      <c r="R18" s="264">
        <f t="shared" ref="R18:R25" si="21">1-T18</f>
        <v>0.66639195648590732</v>
      </c>
      <c r="S18" s="257">
        <v>2024</v>
      </c>
      <c r="T18" s="258">
        <f t="shared" si="11"/>
        <v>0.33360804351409262</v>
      </c>
      <c r="U18" s="259" t="s">
        <v>736</v>
      </c>
      <c r="V18" s="259"/>
    </row>
    <row r="19" spans="1:22" ht="12.4" customHeight="1" x14ac:dyDescent="0.2">
      <c r="A19" s="499" t="s">
        <v>740</v>
      </c>
      <c r="B19" s="256">
        <f t="shared" ref="B19:B25" si="22">B18+1</f>
        <v>11</v>
      </c>
      <c r="C19" s="256" t="s">
        <v>749</v>
      </c>
      <c r="D19" s="257">
        <v>2548</v>
      </c>
      <c r="E19" s="257">
        <v>0</v>
      </c>
      <c r="F19" s="258">
        <f t="shared" si="13"/>
        <v>0</v>
      </c>
      <c r="G19" s="257">
        <f t="shared" si="14"/>
        <v>1495</v>
      </c>
      <c r="H19" s="258">
        <f t="shared" si="15"/>
        <v>0.58673469387755106</v>
      </c>
      <c r="I19" s="257">
        <v>0</v>
      </c>
      <c r="J19" s="258">
        <f t="shared" si="16"/>
        <v>0</v>
      </c>
      <c r="K19" s="257">
        <v>0</v>
      </c>
      <c r="L19" s="258">
        <f t="shared" si="17"/>
        <v>0</v>
      </c>
      <c r="M19" s="257">
        <v>0</v>
      </c>
      <c r="N19" s="258">
        <f t="shared" si="18"/>
        <v>0</v>
      </c>
      <c r="O19" s="257">
        <v>0</v>
      </c>
      <c r="P19" s="258">
        <f t="shared" si="19"/>
        <v>0</v>
      </c>
      <c r="Q19" s="257">
        <f t="shared" si="20"/>
        <v>1495</v>
      </c>
      <c r="R19" s="264">
        <f t="shared" si="21"/>
        <v>0.58673469387755106</v>
      </c>
      <c r="S19" s="257">
        <v>1053</v>
      </c>
      <c r="T19" s="258">
        <f t="shared" si="11"/>
        <v>0.41326530612244899</v>
      </c>
      <c r="U19" s="259" t="s">
        <v>736</v>
      </c>
      <c r="V19" s="259"/>
    </row>
    <row r="20" spans="1:22" ht="12.6" customHeight="1" x14ac:dyDescent="0.2">
      <c r="A20" s="499" t="s">
        <v>740</v>
      </c>
      <c r="B20" s="256">
        <f t="shared" si="22"/>
        <v>12</v>
      </c>
      <c r="C20" s="256" t="s">
        <v>750</v>
      </c>
      <c r="D20" s="257">
        <v>10746</v>
      </c>
      <c r="E20" s="257">
        <f>1251*3.16</f>
        <v>3953.1600000000003</v>
      </c>
      <c r="F20" s="258">
        <f t="shared" si="13"/>
        <v>0.36787269681742046</v>
      </c>
      <c r="G20" s="257">
        <f t="shared" si="14"/>
        <v>1617.2800000000002</v>
      </c>
      <c r="H20" s="258">
        <f t="shared" si="15"/>
        <v>0.15050065140517405</v>
      </c>
      <c r="I20" s="257">
        <v>3313</v>
      </c>
      <c r="J20" s="258">
        <f t="shared" si="16"/>
        <v>0.30830076307463244</v>
      </c>
      <c r="K20" s="257">
        <f>266*3.16</f>
        <v>840.56000000000006</v>
      </c>
      <c r="L20" s="258">
        <f t="shared" si="17"/>
        <v>7.8220733296110193E-2</v>
      </c>
      <c r="M20" s="257">
        <v>0</v>
      </c>
      <c r="N20" s="258">
        <f t="shared" si="18"/>
        <v>0</v>
      </c>
      <c r="O20" s="257">
        <v>0</v>
      </c>
      <c r="P20" s="258">
        <f t="shared" si="19"/>
        <v>0</v>
      </c>
      <c r="Q20" s="257">
        <f t="shared" si="20"/>
        <v>9724</v>
      </c>
      <c r="R20" s="264">
        <f t="shared" si="21"/>
        <v>0.90489484459333702</v>
      </c>
      <c r="S20" s="257">
        <v>1022</v>
      </c>
      <c r="T20" s="258">
        <f t="shared" si="11"/>
        <v>9.510515540666295E-2</v>
      </c>
      <c r="U20" s="259" t="s">
        <v>736</v>
      </c>
      <c r="V20" s="259"/>
    </row>
    <row r="21" spans="1:22" ht="12.4" customHeight="1" x14ac:dyDescent="0.2">
      <c r="A21" s="499" t="s">
        <v>740</v>
      </c>
      <c r="B21" s="256">
        <f t="shared" si="22"/>
        <v>13</v>
      </c>
      <c r="C21" s="256" t="s">
        <v>751</v>
      </c>
      <c r="D21" s="257">
        <v>7702</v>
      </c>
      <c r="E21" s="257">
        <v>0</v>
      </c>
      <c r="F21" s="258">
        <f t="shared" si="13"/>
        <v>0</v>
      </c>
      <c r="G21" s="257">
        <f t="shared" si="14"/>
        <v>5703</v>
      </c>
      <c r="H21" s="258">
        <f t="shared" si="15"/>
        <v>0.74045702414957149</v>
      </c>
      <c r="I21" s="257">
        <v>0</v>
      </c>
      <c r="J21" s="258">
        <f t="shared" si="16"/>
        <v>0</v>
      </c>
      <c r="K21" s="257">
        <v>0</v>
      </c>
      <c r="L21" s="258">
        <f t="shared" si="17"/>
        <v>0</v>
      </c>
      <c r="M21" s="257">
        <v>0</v>
      </c>
      <c r="N21" s="258">
        <f t="shared" si="18"/>
        <v>0</v>
      </c>
      <c r="O21" s="257">
        <v>0</v>
      </c>
      <c r="P21" s="258">
        <f t="shared" si="19"/>
        <v>0</v>
      </c>
      <c r="Q21" s="257">
        <f t="shared" si="20"/>
        <v>5703</v>
      </c>
      <c r="R21" s="264">
        <f t="shared" si="21"/>
        <v>0.7404570241495716</v>
      </c>
      <c r="S21" s="257">
        <v>1999</v>
      </c>
      <c r="T21" s="258">
        <f t="shared" si="11"/>
        <v>0.25954297585042846</v>
      </c>
      <c r="U21" s="259" t="s">
        <v>736</v>
      </c>
      <c r="V21" s="259"/>
    </row>
    <row r="22" spans="1:22" ht="12.4" customHeight="1" x14ac:dyDescent="0.2">
      <c r="A22" s="499"/>
      <c r="B22" s="256">
        <f t="shared" si="22"/>
        <v>14</v>
      </c>
      <c r="C22" s="256" t="s">
        <v>752</v>
      </c>
      <c r="D22" s="257">
        <v>6285</v>
      </c>
      <c r="E22" s="257">
        <f>406*3.2</f>
        <v>1299.2</v>
      </c>
      <c r="F22" s="258">
        <f t="shared" si="13"/>
        <v>0.20671439936356406</v>
      </c>
      <c r="G22" s="257">
        <f t="shared" si="14"/>
        <v>2555.4000000000005</v>
      </c>
      <c r="H22" s="258">
        <f t="shared" si="15"/>
        <v>0.40658711217183779</v>
      </c>
      <c r="I22" s="257">
        <f>406*3.2</f>
        <v>1299.2</v>
      </c>
      <c r="J22" s="258">
        <f t="shared" si="16"/>
        <v>0.20671439936356406</v>
      </c>
      <c r="K22" s="257">
        <f>166*3.2</f>
        <v>531.20000000000005</v>
      </c>
      <c r="L22" s="258">
        <f t="shared" si="17"/>
        <v>8.4518695306284808E-2</v>
      </c>
      <c r="M22" s="257">
        <v>0</v>
      </c>
      <c r="N22" s="258">
        <f t="shared" si="18"/>
        <v>0</v>
      </c>
      <c r="O22" s="257">
        <v>0</v>
      </c>
      <c r="P22" s="258">
        <f t="shared" si="19"/>
        <v>0</v>
      </c>
      <c r="Q22" s="257">
        <f t="shared" si="20"/>
        <v>5685</v>
      </c>
      <c r="R22" s="264">
        <f t="shared" si="21"/>
        <v>0.90453460620525061</v>
      </c>
      <c r="S22" s="257">
        <v>600</v>
      </c>
      <c r="T22" s="258">
        <f t="shared" si="11"/>
        <v>9.5465393794749401E-2</v>
      </c>
      <c r="U22" s="259" t="s">
        <v>736</v>
      </c>
      <c r="V22" s="259"/>
    </row>
    <row r="23" spans="1:22" ht="12.4" customHeight="1" x14ac:dyDescent="0.2">
      <c r="A23" s="499"/>
      <c r="B23" s="256">
        <f t="shared" si="22"/>
        <v>15</v>
      </c>
      <c r="C23" s="256" t="s">
        <v>753</v>
      </c>
      <c r="D23" s="257">
        <v>4691</v>
      </c>
      <c r="E23" s="257">
        <v>0</v>
      </c>
      <c r="F23" s="258">
        <f t="shared" si="13"/>
        <v>0</v>
      </c>
      <c r="G23" s="257">
        <f t="shared" si="14"/>
        <v>2886.6000000000004</v>
      </c>
      <c r="H23" s="258">
        <f t="shared" si="15"/>
        <v>0.61534853975698156</v>
      </c>
      <c r="I23" s="260">
        <f>116*3.3</f>
        <v>382.79999999999995</v>
      </c>
      <c r="J23" s="258">
        <f t="shared" si="16"/>
        <v>8.1603069707951392E-2</v>
      </c>
      <c r="K23" s="257">
        <f>2*3.3</f>
        <v>6.6</v>
      </c>
      <c r="L23" s="258">
        <f t="shared" si="17"/>
        <v>1.4069494777232999E-3</v>
      </c>
      <c r="M23" s="257">
        <v>0</v>
      </c>
      <c r="N23" s="258">
        <f t="shared" si="18"/>
        <v>0</v>
      </c>
      <c r="O23" s="257">
        <v>0</v>
      </c>
      <c r="P23" s="258">
        <f t="shared" si="19"/>
        <v>0</v>
      </c>
      <c r="Q23" s="257">
        <f t="shared" si="20"/>
        <v>3276</v>
      </c>
      <c r="R23" s="264">
        <f t="shared" si="21"/>
        <v>0.69835855894265619</v>
      </c>
      <c r="S23" s="257">
        <v>1415</v>
      </c>
      <c r="T23" s="258">
        <f t="shared" si="11"/>
        <v>0.30164144105734386</v>
      </c>
      <c r="U23" s="259" t="s">
        <v>736</v>
      </c>
      <c r="V23" s="259"/>
    </row>
    <row r="24" spans="1:22" ht="12.4" customHeight="1" x14ac:dyDescent="0.2">
      <c r="A24" s="499"/>
      <c r="B24" s="256">
        <f t="shared" si="22"/>
        <v>16</v>
      </c>
      <c r="C24" s="256" t="s">
        <v>754</v>
      </c>
      <c r="D24" s="257">
        <v>4134</v>
      </c>
      <c r="E24" s="257">
        <v>0</v>
      </c>
      <c r="F24" s="258">
        <f t="shared" si="13"/>
        <v>0</v>
      </c>
      <c r="G24" s="257">
        <f t="shared" si="14"/>
        <v>2966</v>
      </c>
      <c r="H24" s="258">
        <f t="shared" si="15"/>
        <v>0.7174649250120948</v>
      </c>
      <c r="I24" s="257">
        <v>0</v>
      </c>
      <c r="J24" s="258">
        <f t="shared" si="16"/>
        <v>0</v>
      </c>
      <c r="K24" s="257">
        <v>0</v>
      </c>
      <c r="L24" s="258">
        <f t="shared" si="17"/>
        <v>0</v>
      </c>
      <c r="M24" s="257">
        <v>0</v>
      </c>
      <c r="N24" s="258">
        <f t="shared" si="18"/>
        <v>0</v>
      </c>
      <c r="O24" s="257">
        <v>0</v>
      </c>
      <c r="P24" s="258">
        <f t="shared" si="19"/>
        <v>0</v>
      </c>
      <c r="Q24" s="257">
        <f t="shared" si="20"/>
        <v>2966</v>
      </c>
      <c r="R24" s="264">
        <f t="shared" si="21"/>
        <v>0.7174649250120948</v>
      </c>
      <c r="S24" s="257">
        <v>1168</v>
      </c>
      <c r="T24" s="258">
        <f t="shared" si="11"/>
        <v>0.2825350749879052</v>
      </c>
      <c r="U24" s="259" t="s">
        <v>736</v>
      </c>
      <c r="V24" s="259"/>
    </row>
    <row r="25" spans="1:22" ht="12.4" customHeight="1" x14ac:dyDescent="0.2">
      <c r="A25" s="499"/>
      <c r="B25" s="256">
        <f t="shared" si="22"/>
        <v>17</v>
      </c>
      <c r="C25" s="256" t="s">
        <v>755</v>
      </c>
      <c r="D25" s="257">
        <v>7384</v>
      </c>
      <c r="E25" s="257">
        <v>0</v>
      </c>
      <c r="F25" s="258">
        <f t="shared" si="13"/>
        <v>0</v>
      </c>
      <c r="G25" s="257">
        <f t="shared" si="14"/>
        <v>5145.1000000000004</v>
      </c>
      <c r="H25" s="258">
        <f t="shared" si="15"/>
        <v>0.69679035752979424</v>
      </c>
      <c r="I25" s="257">
        <f>170*3.3</f>
        <v>561</v>
      </c>
      <c r="J25" s="258">
        <f t="shared" si="16"/>
        <v>7.5975081256771396E-2</v>
      </c>
      <c r="K25" s="257">
        <f>3*3.3</f>
        <v>9.8999999999999986</v>
      </c>
      <c r="L25" s="258">
        <f t="shared" si="17"/>
        <v>1.3407367280606716E-3</v>
      </c>
      <c r="M25" s="257">
        <v>0</v>
      </c>
      <c r="N25" s="258">
        <f t="shared" si="18"/>
        <v>0</v>
      </c>
      <c r="O25" s="257">
        <v>0</v>
      </c>
      <c r="P25" s="258">
        <f t="shared" si="19"/>
        <v>0</v>
      </c>
      <c r="Q25" s="257">
        <f t="shared" si="20"/>
        <v>5716</v>
      </c>
      <c r="R25" s="264">
        <f t="shared" si="21"/>
        <v>0.77410617551462624</v>
      </c>
      <c r="S25" s="257">
        <v>1668</v>
      </c>
      <c r="T25" s="258">
        <f t="shared" si="11"/>
        <v>0.22589382448537379</v>
      </c>
      <c r="U25" s="259" t="s">
        <v>736</v>
      </c>
      <c r="V25" s="259"/>
    </row>
    <row r="26" spans="1:22" ht="12.2" customHeight="1" x14ac:dyDescent="0.2">
      <c r="A26" s="499" t="s">
        <v>740</v>
      </c>
      <c r="B26" s="501" t="s">
        <v>23</v>
      </c>
      <c r="C26" s="501"/>
      <c r="D26" s="261">
        <f>SUM(D18:D25)</f>
        <v>49557</v>
      </c>
      <c r="E26" s="261">
        <f>SUM(E18:E25)</f>
        <v>6444.36</v>
      </c>
      <c r="F26" s="262">
        <f t="shared" si="13"/>
        <v>0.13003934862885161</v>
      </c>
      <c r="G26" s="261">
        <f>SUM(G18:G25)</f>
        <v>24272.18</v>
      </c>
      <c r="H26" s="262">
        <f t="shared" si="15"/>
        <v>0.48978307807171539</v>
      </c>
      <c r="I26" s="261">
        <f>SUM(I18:I25)</f>
        <v>5584.8</v>
      </c>
      <c r="J26" s="262">
        <f t="shared" si="16"/>
        <v>0.11269447303105515</v>
      </c>
      <c r="K26" s="261">
        <f>SUM(K18:K25)</f>
        <v>2306.66</v>
      </c>
      <c r="L26" s="262">
        <f t="shared" si="17"/>
        <v>4.654559396250782E-2</v>
      </c>
      <c r="M26" s="261">
        <f>SUM(M18:M25)</f>
        <v>0</v>
      </c>
      <c r="N26" s="262">
        <f t="shared" si="18"/>
        <v>0</v>
      </c>
      <c r="O26" s="261">
        <f>SUM(O18:O25)</f>
        <v>0</v>
      </c>
      <c r="P26" s="262">
        <f t="shared" si="19"/>
        <v>0</v>
      </c>
      <c r="Q26" s="261">
        <f>SUM(Q18:Q25)</f>
        <v>38608</v>
      </c>
      <c r="R26" s="262">
        <f>Q26/D26</f>
        <v>0.77906249369412994</v>
      </c>
      <c r="S26" s="261">
        <f t="shared" ref="S26:V26" si="23">SUM(S18:S25)</f>
        <v>10949</v>
      </c>
      <c r="T26" s="262">
        <f t="shared" si="11"/>
        <v>0.22093750630587</v>
      </c>
      <c r="U26" s="263">
        <f t="shared" si="23"/>
        <v>0</v>
      </c>
      <c r="V26" s="263">
        <f t="shared" si="23"/>
        <v>0</v>
      </c>
    </row>
    <row r="27" spans="1:22" ht="12.2" customHeight="1" x14ac:dyDescent="0.2">
      <c r="A27" s="499">
        <v>4</v>
      </c>
      <c r="B27" s="500" t="s">
        <v>756</v>
      </c>
      <c r="C27" s="500"/>
      <c r="D27" s="251"/>
      <c r="E27" s="252"/>
      <c r="F27" s="254"/>
      <c r="G27" s="252"/>
      <c r="H27" s="254"/>
      <c r="I27" s="252"/>
      <c r="J27" s="254"/>
      <c r="K27" s="252"/>
      <c r="L27" s="254"/>
      <c r="M27" s="252"/>
      <c r="N27" s="254"/>
      <c r="O27" s="252"/>
      <c r="P27" s="254"/>
      <c r="Q27" s="252"/>
      <c r="R27" s="254"/>
      <c r="S27" s="252"/>
      <c r="T27" s="254"/>
      <c r="U27" s="255"/>
      <c r="V27" s="255"/>
    </row>
    <row r="28" spans="1:22" ht="12.75" customHeight="1" x14ac:dyDescent="0.2">
      <c r="A28" s="499" t="s">
        <v>740</v>
      </c>
      <c r="B28" s="256">
        <f>B25+1</f>
        <v>18</v>
      </c>
      <c r="C28" s="256" t="s">
        <v>757</v>
      </c>
      <c r="D28" s="257">
        <v>2928</v>
      </c>
      <c r="E28" s="257">
        <f>5*3.5</f>
        <v>17.5</v>
      </c>
      <c r="F28" s="258">
        <f t="shared" ref="F28:F37" si="24">E28/D28</f>
        <v>5.9767759562841527E-3</v>
      </c>
      <c r="G28" s="257">
        <f t="shared" ref="G28:G36" si="25">Q28-O28-M28-K28-I28-E28</f>
        <v>2386.5</v>
      </c>
      <c r="H28" s="258">
        <f t="shared" ref="H28:H37" si="26">G28/D28</f>
        <v>0.81506147540983609</v>
      </c>
      <c r="I28" s="257">
        <v>0</v>
      </c>
      <c r="J28" s="258">
        <f t="shared" ref="J28:J37" si="27">I28/D28</f>
        <v>0</v>
      </c>
      <c r="K28" s="257">
        <v>0</v>
      </c>
      <c r="L28" s="258">
        <f t="shared" ref="L28:L37" si="28">K28/D28</f>
        <v>0</v>
      </c>
      <c r="M28" s="257">
        <v>0</v>
      </c>
      <c r="N28" s="258">
        <f t="shared" ref="N28:N37" si="29">M28/D28</f>
        <v>0</v>
      </c>
      <c r="O28" s="257">
        <v>0</v>
      </c>
      <c r="P28" s="258">
        <f t="shared" ref="P28:P37" si="30">O28/D28</f>
        <v>0</v>
      </c>
      <c r="Q28" s="257">
        <f t="shared" ref="Q28:Q36" si="31">ROUND((D28*R28),0)</f>
        <v>2404</v>
      </c>
      <c r="R28" s="264">
        <f t="shared" ref="R28:R36" si="32">1-T28</f>
        <v>0.82103825136612019</v>
      </c>
      <c r="S28" s="257">
        <v>524</v>
      </c>
      <c r="T28" s="258">
        <f t="shared" si="11"/>
        <v>0.17896174863387979</v>
      </c>
      <c r="U28" s="259" t="s">
        <v>736</v>
      </c>
      <c r="V28" s="259"/>
    </row>
    <row r="29" spans="1:22" ht="12.4" customHeight="1" x14ac:dyDescent="0.2">
      <c r="A29" s="499" t="s">
        <v>740</v>
      </c>
      <c r="B29" s="256">
        <f t="shared" ref="B29:B36" si="33">B28+1</f>
        <v>19</v>
      </c>
      <c r="C29" s="256" t="s">
        <v>758</v>
      </c>
      <c r="D29" s="257">
        <v>3432</v>
      </c>
      <c r="E29" s="257">
        <f>438*2.1</f>
        <v>919.80000000000007</v>
      </c>
      <c r="F29" s="258">
        <f t="shared" si="24"/>
        <v>0.26800699300699304</v>
      </c>
      <c r="G29" s="257">
        <f t="shared" si="25"/>
        <v>1120.1999999999998</v>
      </c>
      <c r="H29" s="258">
        <f t="shared" si="26"/>
        <v>0.32639860139860133</v>
      </c>
      <c r="I29" s="257">
        <v>0</v>
      </c>
      <c r="J29" s="258">
        <f t="shared" si="27"/>
        <v>0</v>
      </c>
      <c r="K29" s="257">
        <v>0</v>
      </c>
      <c r="L29" s="258">
        <f t="shared" si="28"/>
        <v>0</v>
      </c>
      <c r="M29" s="257">
        <v>0</v>
      </c>
      <c r="N29" s="258">
        <f t="shared" si="29"/>
        <v>0</v>
      </c>
      <c r="O29" s="257">
        <v>0</v>
      </c>
      <c r="P29" s="258">
        <f t="shared" si="30"/>
        <v>0</v>
      </c>
      <c r="Q29" s="257">
        <f t="shared" si="31"/>
        <v>2040</v>
      </c>
      <c r="R29" s="264">
        <f t="shared" si="32"/>
        <v>0.59440559440559437</v>
      </c>
      <c r="S29" s="257">
        <v>1392</v>
      </c>
      <c r="T29" s="258">
        <f t="shared" si="11"/>
        <v>0.40559440559440557</v>
      </c>
      <c r="U29" s="259" t="s">
        <v>736</v>
      </c>
      <c r="V29" s="259"/>
    </row>
    <row r="30" spans="1:22" ht="12.6" customHeight="1" x14ac:dyDescent="0.2">
      <c r="A30" s="499" t="s">
        <v>740</v>
      </c>
      <c r="B30" s="256">
        <f t="shared" si="33"/>
        <v>20</v>
      </c>
      <c r="C30" s="256" t="s">
        <v>759</v>
      </c>
      <c r="D30" s="257">
        <v>6378</v>
      </c>
      <c r="E30" s="257">
        <f>960*3.4*70%</f>
        <v>2284.7999999999997</v>
      </c>
      <c r="F30" s="258">
        <f t="shared" si="24"/>
        <v>0.35823142050799617</v>
      </c>
      <c r="G30" s="257">
        <f t="shared" si="25"/>
        <v>2417.44</v>
      </c>
      <c r="H30" s="258">
        <f t="shared" si="26"/>
        <v>0.37902790843524614</v>
      </c>
      <c r="I30" s="257">
        <v>0</v>
      </c>
      <c r="J30" s="258">
        <f t="shared" si="27"/>
        <v>0</v>
      </c>
      <c r="K30" s="257">
        <f>2*3.4*70%</f>
        <v>4.76</v>
      </c>
      <c r="L30" s="258">
        <f t="shared" si="28"/>
        <v>7.4631545939165883E-4</v>
      </c>
      <c r="M30" s="257">
        <v>0</v>
      </c>
      <c r="N30" s="258">
        <f t="shared" si="29"/>
        <v>0</v>
      </c>
      <c r="O30" s="257">
        <v>0</v>
      </c>
      <c r="P30" s="258">
        <f t="shared" si="30"/>
        <v>0</v>
      </c>
      <c r="Q30" s="257">
        <f t="shared" si="31"/>
        <v>4707</v>
      </c>
      <c r="R30" s="264">
        <f t="shared" si="32"/>
        <v>0.73800564440263405</v>
      </c>
      <c r="S30" s="257">
        <v>1671</v>
      </c>
      <c r="T30" s="258">
        <f t="shared" si="11"/>
        <v>0.26199435559736595</v>
      </c>
      <c r="U30" s="259" t="s">
        <v>736</v>
      </c>
      <c r="V30" s="259"/>
    </row>
    <row r="31" spans="1:22" ht="12.4" customHeight="1" x14ac:dyDescent="0.2">
      <c r="A31" s="499" t="s">
        <v>740</v>
      </c>
      <c r="B31" s="256">
        <f t="shared" si="33"/>
        <v>21</v>
      </c>
      <c r="C31" s="256" t="s">
        <v>760</v>
      </c>
      <c r="D31" s="257">
        <v>2593</v>
      </c>
      <c r="E31" s="257">
        <f>960*3.4*30%</f>
        <v>979.19999999999993</v>
      </c>
      <c r="F31" s="258">
        <f t="shared" si="24"/>
        <v>0.37763208638642498</v>
      </c>
      <c r="G31" s="257">
        <f t="shared" si="25"/>
        <v>1124.7600000000002</v>
      </c>
      <c r="H31" s="258">
        <f t="shared" si="26"/>
        <v>0.43376783648283851</v>
      </c>
      <c r="I31" s="257">
        <v>0</v>
      </c>
      <c r="J31" s="258">
        <f t="shared" si="27"/>
        <v>0</v>
      </c>
      <c r="K31" s="257">
        <f>2*3.4*30%</f>
        <v>2.04</v>
      </c>
      <c r="L31" s="258">
        <f t="shared" si="28"/>
        <v>7.8673351330505207E-4</v>
      </c>
      <c r="M31" s="257">
        <v>0</v>
      </c>
      <c r="N31" s="258">
        <f t="shared" si="29"/>
        <v>0</v>
      </c>
      <c r="O31" s="257">
        <v>0</v>
      </c>
      <c r="P31" s="258">
        <f t="shared" si="30"/>
        <v>0</v>
      </c>
      <c r="Q31" s="257">
        <f t="shared" si="31"/>
        <v>2106</v>
      </c>
      <c r="R31" s="264">
        <f t="shared" si="32"/>
        <v>0.81218665638256848</v>
      </c>
      <c r="S31" s="257">
        <v>487</v>
      </c>
      <c r="T31" s="258">
        <f t="shared" si="11"/>
        <v>0.18781334361743154</v>
      </c>
      <c r="U31" s="259" t="s">
        <v>736</v>
      </c>
      <c r="V31" s="259"/>
    </row>
    <row r="32" spans="1:22" ht="12.4" customHeight="1" x14ac:dyDescent="0.2">
      <c r="A32" s="499"/>
      <c r="B32" s="256">
        <f t="shared" si="33"/>
        <v>22</v>
      </c>
      <c r="C32" s="256" t="s">
        <v>761</v>
      </c>
      <c r="D32" s="257">
        <v>7158</v>
      </c>
      <c r="E32" s="257">
        <f>84*3.2</f>
        <v>268.8</v>
      </c>
      <c r="F32" s="258">
        <f t="shared" si="24"/>
        <v>3.7552388935456836E-2</v>
      </c>
      <c r="G32" s="257">
        <f t="shared" si="25"/>
        <v>4837.2</v>
      </c>
      <c r="H32" s="258">
        <f t="shared" si="26"/>
        <v>0.67577535624476104</v>
      </c>
      <c r="I32" s="257">
        <v>0</v>
      </c>
      <c r="J32" s="258">
        <f t="shared" si="27"/>
        <v>0</v>
      </c>
      <c r="K32" s="257">
        <v>0</v>
      </c>
      <c r="L32" s="258">
        <f t="shared" si="28"/>
        <v>0</v>
      </c>
      <c r="M32" s="257">
        <v>0</v>
      </c>
      <c r="N32" s="258">
        <f t="shared" si="29"/>
        <v>0</v>
      </c>
      <c r="O32" s="257">
        <v>0</v>
      </c>
      <c r="P32" s="258">
        <f t="shared" si="30"/>
        <v>0</v>
      </c>
      <c r="Q32" s="257">
        <f t="shared" si="31"/>
        <v>5106</v>
      </c>
      <c r="R32" s="264">
        <f t="shared" si="32"/>
        <v>0.71332774518021802</v>
      </c>
      <c r="S32" s="257">
        <v>2052</v>
      </c>
      <c r="T32" s="258">
        <f t="shared" si="11"/>
        <v>0.28667225481978204</v>
      </c>
      <c r="U32" s="259" t="s">
        <v>736</v>
      </c>
      <c r="V32" s="259"/>
    </row>
    <row r="33" spans="1:22" ht="12.4" customHeight="1" x14ac:dyDescent="0.2">
      <c r="A33" s="499"/>
      <c r="B33" s="256">
        <f t="shared" si="33"/>
        <v>23</v>
      </c>
      <c r="C33" s="256" t="s">
        <v>762</v>
      </c>
      <c r="D33" s="257">
        <v>2575</v>
      </c>
      <c r="E33" s="257">
        <v>0</v>
      </c>
      <c r="F33" s="258">
        <f t="shared" si="24"/>
        <v>0</v>
      </c>
      <c r="G33" s="257">
        <f t="shared" si="25"/>
        <v>1925</v>
      </c>
      <c r="H33" s="258">
        <f t="shared" si="26"/>
        <v>0.74757281553398058</v>
      </c>
      <c r="I33" s="257">
        <v>0</v>
      </c>
      <c r="J33" s="258">
        <f t="shared" si="27"/>
        <v>0</v>
      </c>
      <c r="K33" s="257">
        <v>0</v>
      </c>
      <c r="L33" s="258">
        <f t="shared" si="28"/>
        <v>0</v>
      </c>
      <c r="M33" s="257">
        <v>0</v>
      </c>
      <c r="N33" s="258">
        <f t="shared" si="29"/>
        <v>0</v>
      </c>
      <c r="O33" s="257">
        <v>0</v>
      </c>
      <c r="P33" s="258">
        <f t="shared" si="30"/>
        <v>0</v>
      </c>
      <c r="Q33" s="257">
        <f t="shared" si="31"/>
        <v>1925</v>
      </c>
      <c r="R33" s="264">
        <f t="shared" si="32"/>
        <v>0.74757281553398058</v>
      </c>
      <c r="S33" s="257">
        <v>650</v>
      </c>
      <c r="T33" s="258">
        <f t="shared" si="11"/>
        <v>0.25242718446601942</v>
      </c>
      <c r="U33" s="259" t="s">
        <v>736</v>
      </c>
      <c r="V33" s="259"/>
    </row>
    <row r="34" spans="1:22" ht="12.4" customHeight="1" x14ac:dyDescent="0.2">
      <c r="A34" s="499"/>
      <c r="B34" s="256">
        <f t="shared" si="33"/>
        <v>24</v>
      </c>
      <c r="C34" s="256" t="s">
        <v>763</v>
      </c>
      <c r="D34" s="257">
        <v>6827</v>
      </c>
      <c r="E34" s="257">
        <f>119*3</f>
        <v>357</v>
      </c>
      <c r="F34" s="258">
        <f t="shared" si="24"/>
        <v>5.2292368536692543E-2</v>
      </c>
      <c r="G34" s="257">
        <f t="shared" si="25"/>
        <v>5345</v>
      </c>
      <c r="H34" s="258">
        <f t="shared" si="26"/>
        <v>0.78292075582246956</v>
      </c>
      <c r="I34" s="257">
        <f>45*3</f>
        <v>135</v>
      </c>
      <c r="J34" s="258">
        <f t="shared" si="27"/>
        <v>1.9774425076900543E-2</v>
      </c>
      <c r="K34" s="257">
        <f>12*3</f>
        <v>36</v>
      </c>
      <c r="L34" s="258">
        <f t="shared" si="28"/>
        <v>5.2731800205068112E-3</v>
      </c>
      <c r="M34" s="257">
        <v>0</v>
      </c>
      <c r="N34" s="258">
        <f t="shared" si="29"/>
        <v>0</v>
      </c>
      <c r="O34" s="257">
        <v>0</v>
      </c>
      <c r="P34" s="258">
        <f t="shared" si="30"/>
        <v>0</v>
      </c>
      <c r="Q34" s="257">
        <f t="shared" si="31"/>
        <v>5873</v>
      </c>
      <c r="R34" s="264">
        <f t="shared" si="32"/>
        <v>0.86026072945656951</v>
      </c>
      <c r="S34" s="257">
        <v>954</v>
      </c>
      <c r="T34" s="258">
        <f t="shared" si="11"/>
        <v>0.13973927054343049</v>
      </c>
      <c r="U34" s="259" t="s">
        <v>736</v>
      </c>
      <c r="V34" s="259"/>
    </row>
    <row r="35" spans="1:22" ht="12.4" customHeight="1" x14ac:dyDescent="0.2">
      <c r="A35" s="499"/>
      <c r="B35" s="256">
        <f t="shared" si="33"/>
        <v>25</v>
      </c>
      <c r="C35" s="256" t="s">
        <v>764</v>
      </c>
      <c r="D35" s="257">
        <v>6818</v>
      </c>
      <c r="E35" s="257">
        <v>0</v>
      </c>
      <c r="F35" s="258">
        <f t="shared" si="24"/>
        <v>0</v>
      </c>
      <c r="G35" s="257">
        <f t="shared" si="25"/>
        <v>3506.9999999999995</v>
      </c>
      <c r="H35" s="258">
        <f t="shared" si="26"/>
        <v>0.51437371663244347</v>
      </c>
      <c r="I35" s="257">
        <f>332*3.2</f>
        <v>1062.4000000000001</v>
      </c>
      <c r="J35" s="258">
        <f t="shared" si="27"/>
        <v>0.15582282194191846</v>
      </c>
      <c r="K35" s="257">
        <f>193*3.2</f>
        <v>617.6</v>
      </c>
      <c r="L35" s="258">
        <f t="shared" si="28"/>
        <v>9.0583748899970673E-2</v>
      </c>
      <c r="M35" s="257">
        <v>0</v>
      </c>
      <c r="N35" s="258">
        <f t="shared" si="29"/>
        <v>0</v>
      </c>
      <c r="O35" s="257">
        <v>0</v>
      </c>
      <c r="P35" s="258">
        <f t="shared" si="30"/>
        <v>0</v>
      </c>
      <c r="Q35" s="257">
        <f t="shared" si="31"/>
        <v>5187</v>
      </c>
      <c r="R35" s="264">
        <f t="shared" si="32"/>
        <v>0.76078028747433268</v>
      </c>
      <c r="S35" s="257">
        <v>1631</v>
      </c>
      <c r="T35" s="258">
        <f t="shared" si="11"/>
        <v>0.23921971252566734</v>
      </c>
      <c r="U35" s="259" t="s">
        <v>736</v>
      </c>
      <c r="V35" s="259"/>
    </row>
    <row r="36" spans="1:22" ht="12.75" customHeight="1" x14ac:dyDescent="0.2">
      <c r="A36" s="499" t="s">
        <v>740</v>
      </c>
      <c r="B36" s="256">
        <f t="shared" si="33"/>
        <v>26</v>
      </c>
      <c r="C36" s="256" t="s">
        <v>765</v>
      </c>
      <c r="D36" s="257">
        <v>3972</v>
      </c>
      <c r="E36" s="257">
        <f>126*2.9</f>
        <v>365.4</v>
      </c>
      <c r="F36" s="258">
        <f t="shared" si="24"/>
        <v>9.1993957703927487E-2</v>
      </c>
      <c r="G36" s="257">
        <f t="shared" si="25"/>
        <v>1950.6</v>
      </c>
      <c r="H36" s="258">
        <f t="shared" si="26"/>
        <v>0.49108761329305134</v>
      </c>
      <c r="I36" s="257">
        <v>0</v>
      </c>
      <c r="J36" s="258">
        <f t="shared" si="27"/>
        <v>0</v>
      </c>
      <c r="K36" s="257">
        <v>0</v>
      </c>
      <c r="L36" s="258">
        <f t="shared" si="28"/>
        <v>0</v>
      </c>
      <c r="M36" s="257">
        <v>0</v>
      </c>
      <c r="N36" s="258">
        <f t="shared" si="29"/>
        <v>0</v>
      </c>
      <c r="O36" s="257">
        <v>0</v>
      </c>
      <c r="P36" s="258">
        <f t="shared" si="30"/>
        <v>0</v>
      </c>
      <c r="Q36" s="257">
        <f t="shared" si="31"/>
        <v>2316</v>
      </c>
      <c r="R36" s="264">
        <f t="shared" si="32"/>
        <v>0.58308157099697877</v>
      </c>
      <c r="S36" s="257">
        <v>1656</v>
      </c>
      <c r="T36" s="258">
        <f t="shared" si="11"/>
        <v>0.41691842900302117</v>
      </c>
      <c r="U36" s="259" t="s">
        <v>736</v>
      </c>
      <c r="V36" s="259"/>
    </row>
    <row r="37" spans="1:22" ht="12.2" customHeight="1" x14ac:dyDescent="0.2">
      <c r="A37" s="499" t="s">
        <v>740</v>
      </c>
      <c r="B37" s="501" t="s">
        <v>23</v>
      </c>
      <c r="C37" s="501"/>
      <c r="D37" s="261">
        <f>SUM(D28:D36)</f>
        <v>42681</v>
      </c>
      <c r="E37" s="261">
        <f>SUM(E28:E36)</f>
        <v>5192.5</v>
      </c>
      <c r="F37" s="262">
        <f t="shared" si="24"/>
        <v>0.12165834914833298</v>
      </c>
      <c r="G37" s="261">
        <f>SUM(G28:G36)</f>
        <v>24613.699999999997</v>
      </c>
      <c r="H37" s="262">
        <f t="shared" si="26"/>
        <v>0.57668986199948447</v>
      </c>
      <c r="I37" s="261">
        <f>SUM(I28:I36)</f>
        <v>1197.4000000000001</v>
      </c>
      <c r="J37" s="262">
        <f t="shared" si="27"/>
        <v>2.8054637895082123E-2</v>
      </c>
      <c r="K37" s="261">
        <f>SUM(K28:K36)</f>
        <v>660.4</v>
      </c>
      <c r="L37" s="262">
        <f t="shared" si="28"/>
        <v>1.5472927063564583E-2</v>
      </c>
      <c r="M37" s="261">
        <f>SUM(M28:M36)</f>
        <v>0</v>
      </c>
      <c r="N37" s="262">
        <f t="shared" si="29"/>
        <v>0</v>
      </c>
      <c r="O37" s="261">
        <f>SUM(O28:O36)</f>
        <v>0</v>
      </c>
      <c r="P37" s="262">
        <f t="shared" si="30"/>
        <v>0</v>
      </c>
      <c r="Q37" s="261">
        <f>SUM(Q28:Q36)</f>
        <v>31664</v>
      </c>
      <c r="R37" s="262">
        <f>Q37/D37</f>
        <v>0.74187577610646427</v>
      </c>
      <c r="S37" s="261">
        <f t="shared" ref="S37:V37" si="34">SUM(S28:S36)</f>
        <v>11017</v>
      </c>
      <c r="T37" s="262">
        <f t="shared" si="11"/>
        <v>0.25812422389353579</v>
      </c>
      <c r="U37" s="263">
        <f t="shared" si="34"/>
        <v>0</v>
      </c>
      <c r="V37" s="263">
        <f t="shared" si="34"/>
        <v>0</v>
      </c>
    </row>
    <row r="38" spans="1:22" ht="12.2" customHeight="1" x14ac:dyDescent="0.2">
      <c r="A38" s="499">
        <v>5</v>
      </c>
      <c r="B38" s="500" t="s">
        <v>766</v>
      </c>
      <c r="C38" s="500"/>
      <c r="D38" s="251"/>
      <c r="E38" s="252"/>
      <c r="F38" s="254"/>
      <c r="G38" s="252"/>
      <c r="H38" s="254"/>
      <c r="I38" s="252"/>
      <c r="J38" s="254"/>
      <c r="K38" s="252"/>
      <c r="L38" s="254"/>
      <c r="M38" s="252"/>
      <c r="N38" s="254"/>
      <c r="O38" s="252"/>
      <c r="P38" s="254"/>
      <c r="Q38" s="252"/>
      <c r="R38" s="254"/>
      <c r="S38" s="252"/>
      <c r="T38" s="254"/>
      <c r="U38" s="255"/>
      <c r="V38" s="255"/>
    </row>
    <row r="39" spans="1:22" ht="12.75" customHeight="1" x14ac:dyDescent="0.2">
      <c r="A39" s="499" t="s">
        <v>767</v>
      </c>
      <c r="B39" s="256">
        <f>B36+1</f>
        <v>27</v>
      </c>
      <c r="C39" s="256" t="s">
        <v>768</v>
      </c>
      <c r="D39" s="257">
        <v>3889</v>
      </c>
      <c r="E39" s="257">
        <v>0</v>
      </c>
      <c r="F39" s="258">
        <f t="shared" ref="F39:F51" si="35">E39/D39</f>
        <v>0</v>
      </c>
      <c r="G39" s="257">
        <f t="shared" ref="G39:G49" si="36">Q39-O39-M39-K39-I39-E39</f>
        <v>1219.8</v>
      </c>
      <c r="H39" s="258">
        <f t="shared" ref="H39:H51" si="37">G39/D39</f>
        <v>0.31365389560298274</v>
      </c>
      <c r="I39" s="257">
        <f>377*3.1</f>
        <v>1168.7</v>
      </c>
      <c r="J39" s="258">
        <f t="shared" ref="J39:J51" si="38">I39/D39</f>
        <v>0.30051427102082801</v>
      </c>
      <c r="K39" s="257">
        <f>325*3.1</f>
        <v>1007.5</v>
      </c>
      <c r="L39" s="258">
        <f t="shared" ref="L39:L51" si="39">K39/D39</f>
        <v>0.25906402674209306</v>
      </c>
      <c r="M39" s="257">
        <v>0</v>
      </c>
      <c r="N39" s="258">
        <f t="shared" ref="N39:N51" si="40">M39/D39</f>
        <v>0</v>
      </c>
      <c r="O39" s="257">
        <v>0</v>
      </c>
      <c r="P39" s="258">
        <f t="shared" ref="P39:P51" si="41">O39/D39</f>
        <v>0</v>
      </c>
      <c r="Q39" s="257">
        <f t="shared" ref="Q39:Q49" si="42">ROUND((D39*R39),0)</f>
        <v>3396</v>
      </c>
      <c r="R39" s="258">
        <f t="shared" ref="R39:R49" si="43">1-T39</f>
        <v>0.87323219336590385</v>
      </c>
      <c r="S39" s="257">
        <v>493</v>
      </c>
      <c r="T39" s="258">
        <f t="shared" si="11"/>
        <v>0.12676780663409618</v>
      </c>
      <c r="U39" s="259" t="s">
        <v>736</v>
      </c>
      <c r="V39" s="259"/>
    </row>
    <row r="40" spans="1:22" ht="12.75" customHeight="1" x14ac:dyDescent="0.2">
      <c r="A40" s="499"/>
      <c r="B40" s="256">
        <f t="shared" ref="B40:B49" si="44">B39+1</f>
        <v>28</v>
      </c>
      <c r="C40" s="256" t="s">
        <v>769</v>
      </c>
      <c r="D40" s="257">
        <v>7237</v>
      </c>
      <c r="E40" s="257">
        <f>6*2.3</f>
        <v>13.799999999999999</v>
      </c>
      <c r="F40" s="258">
        <f t="shared" si="35"/>
        <v>1.9068674865275665E-3</v>
      </c>
      <c r="G40" s="257">
        <f t="shared" si="36"/>
        <v>3445.4</v>
      </c>
      <c r="H40" s="258">
        <f t="shared" si="37"/>
        <v>0.4760812491363825</v>
      </c>
      <c r="I40" s="257">
        <f>347*2.3</f>
        <v>798.09999999999991</v>
      </c>
      <c r="J40" s="258">
        <f t="shared" si="38"/>
        <v>0.11028050297084425</v>
      </c>
      <c r="K40" s="257">
        <f>289*2.3</f>
        <v>664.69999999999993</v>
      </c>
      <c r="L40" s="258">
        <f t="shared" si="39"/>
        <v>9.1847450601077782E-2</v>
      </c>
      <c r="M40" s="257">
        <v>0</v>
      </c>
      <c r="N40" s="258">
        <f t="shared" si="40"/>
        <v>0</v>
      </c>
      <c r="O40" s="257">
        <v>0</v>
      </c>
      <c r="P40" s="258">
        <f t="shared" si="41"/>
        <v>0</v>
      </c>
      <c r="Q40" s="257">
        <f t="shared" si="42"/>
        <v>4922</v>
      </c>
      <c r="R40" s="264">
        <f t="shared" si="43"/>
        <v>0.68011607019483211</v>
      </c>
      <c r="S40" s="257">
        <v>2315</v>
      </c>
      <c r="T40" s="258">
        <f t="shared" si="11"/>
        <v>0.31988392980516789</v>
      </c>
      <c r="U40" s="259" t="s">
        <v>736</v>
      </c>
      <c r="V40" s="259"/>
    </row>
    <row r="41" spans="1:22" ht="12.6" customHeight="1" x14ac:dyDescent="0.2">
      <c r="A41" s="499" t="s">
        <v>767</v>
      </c>
      <c r="B41" s="256">
        <f t="shared" si="44"/>
        <v>29</v>
      </c>
      <c r="C41" s="256" t="s">
        <v>770</v>
      </c>
      <c r="D41" s="257">
        <v>2349</v>
      </c>
      <c r="E41" s="257">
        <v>0</v>
      </c>
      <c r="F41" s="258">
        <f t="shared" si="35"/>
        <v>0</v>
      </c>
      <c r="G41" s="257">
        <f t="shared" si="36"/>
        <v>1762</v>
      </c>
      <c r="H41" s="258">
        <f t="shared" si="37"/>
        <v>0.75010642826734786</v>
      </c>
      <c r="I41" s="257">
        <v>0</v>
      </c>
      <c r="J41" s="258">
        <f t="shared" si="38"/>
        <v>0</v>
      </c>
      <c r="K41" s="257">
        <v>0</v>
      </c>
      <c r="L41" s="258">
        <f t="shared" si="39"/>
        <v>0</v>
      </c>
      <c r="M41" s="257">
        <v>0</v>
      </c>
      <c r="N41" s="258">
        <f t="shared" si="40"/>
        <v>0</v>
      </c>
      <c r="O41" s="257">
        <v>0</v>
      </c>
      <c r="P41" s="258">
        <f t="shared" si="41"/>
        <v>0</v>
      </c>
      <c r="Q41" s="257">
        <f t="shared" si="42"/>
        <v>1762</v>
      </c>
      <c r="R41" s="264">
        <f t="shared" si="43"/>
        <v>0.75</v>
      </c>
      <c r="S41" s="257">
        <f>2349*25%</f>
        <v>587.25</v>
      </c>
      <c r="T41" s="258">
        <f t="shared" si="11"/>
        <v>0.25</v>
      </c>
      <c r="U41" s="259" t="s">
        <v>736</v>
      </c>
      <c r="V41" s="259"/>
    </row>
    <row r="42" spans="1:22" ht="12.6" customHeight="1" x14ac:dyDescent="0.2">
      <c r="A42" s="499"/>
      <c r="B42" s="256">
        <f t="shared" si="44"/>
        <v>30</v>
      </c>
      <c r="C42" s="256" t="s">
        <v>771</v>
      </c>
      <c r="D42" s="257">
        <v>4619</v>
      </c>
      <c r="E42" s="257">
        <f>59*3.4</f>
        <v>200.6</v>
      </c>
      <c r="F42" s="258">
        <f t="shared" si="35"/>
        <v>4.3429313704264991E-2</v>
      </c>
      <c r="G42" s="257">
        <f t="shared" si="36"/>
        <v>2368.8000000000002</v>
      </c>
      <c r="H42" s="258">
        <f t="shared" si="37"/>
        <v>0.51283827668326476</v>
      </c>
      <c r="I42" s="257">
        <f>320*3.4</f>
        <v>1088</v>
      </c>
      <c r="J42" s="258">
        <f t="shared" si="38"/>
        <v>0.23554882009092878</v>
      </c>
      <c r="K42" s="257">
        <f>39*3.4</f>
        <v>132.6</v>
      </c>
      <c r="L42" s="258">
        <f t="shared" si="39"/>
        <v>2.8707512448581943E-2</v>
      </c>
      <c r="M42" s="257">
        <v>0</v>
      </c>
      <c r="N42" s="258">
        <f t="shared" si="40"/>
        <v>0</v>
      </c>
      <c r="O42" s="257">
        <v>0</v>
      </c>
      <c r="P42" s="258">
        <f t="shared" si="41"/>
        <v>0</v>
      </c>
      <c r="Q42" s="257">
        <f t="shared" si="42"/>
        <v>3790</v>
      </c>
      <c r="R42" s="264">
        <f t="shared" si="43"/>
        <v>0.82052392292704046</v>
      </c>
      <c r="S42" s="257">
        <v>829</v>
      </c>
      <c r="T42" s="258">
        <f t="shared" si="11"/>
        <v>0.17947607707295951</v>
      </c>
      <c r="U42" s="259" t="s">
        <v>736</v>
      </c>
      <c r="V42" s="259"/>
    </row>
    <row r="43" spans="1:22" ht="12.6" customHeight="1" x14ac:dyDescent="0.2">
      <c r="A43" s="499"/>
      <c r="B43" s="256">
        <f t="shared" si="44"/>
        <v>31</v>
      </c>
      <c r="C43" s="256" t="s">
        <v>772</v>
      </c>
      <c r="D43" s="257">
        <v>3143</v>
      </c>
      <c r="E43" s="257">
        <v>0</v>
      </c>
      <c r="F43" s="258">
        <f t="shared" si="35"/>
        <v>0</v>
      </c>
      <c r="G43" s="257">
        <f t="shared" si="36"/>
        <v>2039</v>
      </c>
      <c r="H43" s="258">
        <f t="shared" si="37"/>
        <v>0.64874323894368435</v>
      </c>
      <c r="I43" s="257">
        <v>0</v>
      </c>
      <c r="J43" s="258">
        <f t="shared" si="38"/>
        <v>0</v>
      </c>
      <c r="K43" s="257">
        <v>0</v>
      </c>
      <c r="L43" s="258">
        <f t="shared" si="39"/>
        <v>0</v>
      </c>
      <c r="M43" s="257">
        <v>0</v>
      </c>
      <c r="N43" s="258">
        <f t="shared" si="40"/>
        <v>0</v>
      </c>
      <c r="O43" s="257">
        <v>0</v>
      </c>
      <c r="P43" s="258">
        <f t="shared" si="41"/>
        <v>0</v>
      </c>
      <c r="Q43" s="257">
        <f t="shared" si="42"/>
        <v>2039</v>
      </c>
      <c r="R43" s="264">
        <f t="shared" si="43"/>
        <v>0.64874323894368435</v>
      </c>
      <c r="S43" s="257">
        <v>1104</v>
      </c>
      <c r="T43" s="258">
        <f t="shared" si="11"/>
        <v>0.35125676105631565</v>
      </c>
      <c r="U43" s="259" t="s">
        <v>736</v>
      </c>
      <c r="V43" s="259"/>
    </row>
    <row r="44" spans="1:22" ht="12.4" customHeight="1" x14ac:dyDescent="0.2">
      <c r="A44" s="499" t="s">
        <v>767</v>
      </c>
      <c r="B44" s="256">
        <f t="shared" si="44"/>
        <v>32</v>
      </c>
      <c r="C44" s="256" t="s">
        <v>773</v>
      </c>
      <c r="D44" s="257">
        <v>7624</v>
      </c>
      <c r="E44" s="257">
        <f>1576*3.12</f>
        <v>4917.12</v>
      </c>
      <c r="F44" s="258">
        <f t="shared" si="35"/>
        <v>0.6449527806925498</v>
      </c>
      <c r="G44" s="257">
        <f t="shared" si="36"/>
        <v>2306.88</v>
      </c>
      <c r="H44" s="258">
        <f t="shared" si="37"/>
        <v>0.30258132214060862</v>
      </c>
      <c r="I44" s="257">
        <v>0</v>
      </c>
      <c r="J44" s="258">
        <f t="shared" si="38"/>
        <v>0</v>
      </c>
      <c r="K44" s="257">
        <v>0</v>
      </c>
      <c r="L44" s="258">
        <f t="shared" si="39"/>
        <v>0</v>
      </c>
      <c r="M44" s="257">
        <v>0</v>
      </c>
      <c r="N44" s="258">
        <f t="shared" si="40"/>
        <v>0</v>
      </c>
      <c r="O44" s="257">
        <v>0</v>
      </c>
      <c r="P44" s="258">
        <f t="shared" si="41"/>
        <v>0</v>
      </c>
      <c r="Q44" s="257">
        <f t="shared" si="42"/>
        <v>7224</v>
      </c>
      <c r="R44" s="264">
        <f t="shared" si="43"/>
        <v>0.94753410283315842</v>
      </c>
      <c r="S44" s="257">
        <v>400</v>
      </c>
      <c r="T44" s="258">
        <f t="shared" si="11"/>
        <v>5.2465897166841552E-2</v>
      </c>
      <c r="U44" s="259" t="s">
        <v>736</v>
      </c>
      <c r="V44" s="259"/>
    </row>
    <row r="45" spans="1:22" ht="12.6" customHeight="1" x14ac:dyDescent="0.2">
      <c r="A45" s="499" t="s">
        <v>767</v>
      </c>
      <c r="B45" s="256">
        <f t="shared" si="44"/>
        <v>33</v>
      </c>
      <c r="C45" s="256" t="s">
        <v>774</v>
      </c>
      <c r="D45" s="257">
        <v>3568</v>
      </c>
      <c r="E45" s="257">
        <f>491*3.3</f>
        <v>1620.3</v>
      </c>
      <c r="F45" s="258">
        <f t="shared" si="35"/>
        <v>0.45411995515695064</v>
      </c>
      <c r="G45" s="257">
        <f t="shared" si="36"/>
        <v>1529.7</v>
      </c>
      <c r="H45" s="258">
        <f t="shared" si="37"/>
        <v>0.42872757847533632</v>
      </c>
      <c r="I45" s="257">
        <v>0</v>
      </c>
      <c r="J45" s="258">
        <f t="shared" si="38"/>
        <v>0</v>
      </c>
      <c r="K45" s="257">
        <v>0</v>
      </c>
      <c r="L45" s="258">
        <f t="shared" si="39"/>
        <v>0</v>
      </c>
      <c r="M45" s="257">
        <v>0</v>
      </c>
      <c r="N45" s="258">
        <f t="shared" si="40"/>
        <v>0</v>
      </c>
      <c r="O45" s="257">
        <v>0</v>
      </c>
      <c r="P45" s="258">
        <f t="shared" si="41"/>
        <v>0</v>
      </c>
      <c r="Q45" s="257">
        <f t="shared" si="42"/>
        <v>3150</v>
      </c>
      <c r="R45" s="264">
        <f t="shared" si="43"/>
        <v>0.88284753363228696</v>
      </c>
      <c r="S45" s="257">
        <v>418</v>
      </c>
      <c r="T45" s="258">
        <f t="shared" si="11"/>
        <v>0.11715246636771301</v>
      </c>
      <c r="U45" s="259" t="s">
        <v>736</v>
      </c>
      <c r="V45" s="259"/>
    </row>
    <row r="46" spans="1:22" ht="12.6" customHeight="1" x14ac:dyDescent="0.2">
      <c r="A46" s="499" t="s">
        <v>767</v>
      </c>
      <c r="B46" s="256">
        <f t="shared" si="44"/>
        <v>34</v>
      </c>
      <c r="C46" s="256" t="s">
        <v>775</v>
      </c>
      <c r="D46" s="257">
        <v>7115</v>
      </c>
      <c r="E46" s="257">
        <f>1296*3</f>
        <v>3888</v>
      </c>
      <c r="F46" s="258">
        <f t="shared" si="35"/>
        <v>0.5464511595221363</v>
      </c>
      <c r="G46" s="257">
        <f t="shared" si="36"/>
        <v>1979</v>
      </c>
      <c r="H46" s="258">
        <f t="shared" si="37"/>
        <v>0.27814476458186926</v>
      </c>
      <c r="I46" s="257">
        <v>0</v>
      </c>
      <c r="J46" s="258">
        <f t="shared" si="38"/>
        <v>0</v>
      </c>
      <c r="K46" s="257">
        <v>0</v>
      </c>
      <c r="L46" s="258">
        <f t="shared" si="39"/>
        <v>0</v>
      </c>
      <c r="M46" s="257">
        <v>0</v>
      </c>
      <c r="N46" s="258">
        <f t="shared" si="40"/>
        <v>0</v>
      </c>
      <c r="O46" s="257">
        <v>0</v>
      </c>
      <c r="P46" s="258">
        <f t="shared" si="41"/>
        <v>0</v>
      </c>
      <c r="Q46" s="257">
        <f t="shared" si="42"/>
        <v>5867</v>
      </c>
      <c r="R46" s="264">
        <f t="shared" si="43"/>
        <v>0.82459592410400562</v>
      </c>
      <c r="S46" s="257">
        <v>1248</v>
      </c>
      <c r="T46" s="258">
        <f t="shared" si="11"/>
        <v>0.17540407589599438</v>
      </c>
      <c r="U46" s="259" t="s">
        <v>736</v>
      </c>
      <c r="V46" s="259"/>
    </row>
    <row r="47" spans="1:22" ht="12.4" customHeight="1" x14ac:dyDescent="0.2">
      <c r="A47" s="499" t="s">
        <v>767</v>
      </c>
      <c r="B47" s="256">
        <f t="shared" si="44"/>
        <v>35</v>
      </c>
      <c r="C47" s="256" t="s">
        <v>776</v>
      </c>
      <c r="D47" s="257">
        <v>5205</v>
      </c>
      <c r="E47" s="257">
        <f>71*2.5</f>
        <v>177.5</v>
      </c>
      <c r="F47" s="258">
        <f t="shared" si="35"/>
        <v>3.4101825168107586E-2</v>
      </c>
      <c r="G47" s="257">
        <f t="shared" si="36"/>
        <v>4284.5</v>
      </c>
      <c r="H47" s="258">
        <f t="shared" si="37"/>
        <v>0.82315081652257449</v>
      </c>
      <c r="I47" s="257">
        <v>0</v>
      </c>
      <c r="J47" s="258">
        <f t="shared" si="38"/>
        <v>0</v>
      </c>
      <c r="K47" s="257">
        <v>0</v>
      </c>
      <c r="L47" s="258">
        <f t="shared" si="39"/>
        <v>0</v>
      </c>
      <c r="M47" s="257">
        <v>0</v>
      </c>
      <c r="N47" s="258">
        <f t="shared" si="40"/>
        <v>0</v>
      </c>
      <c r="O47" s="257">
        <v>0</v>
      </c>
      <c r="P47" s="258">
        <f t="shared" si="41"/>
        <v>0</v>
      </c>
      <c r="Q47" s="257">
        <f t="shared" si="42"/>
        <v>4462</v>
      </c>
      <c r="R47" s="264">
        <f t="shared" si="43"/>
        <v>0.85725264169068205</v>
      </c>
      <c r="S47" s="257">
        <v>743</v>
      </c>
      <c r="T47" s="258">
        <f t="shared" si="11"/>
        <v>0.14274735830931795</v>
      </c>
      <c r="U47" s="259" t="s">
        <v>736</v>
      </c>
      <c r="V47" s="259"/>
    </row>
    <row r="48" spans="1:22" ht="12.4" customHeight="1" x14ac:dyDescent="0.2">
      <c r="A48" s="499" t="s">
        <v>767</v>
      </c>
      <c r="B48" s="256">
        <f t="shared" si="44"/>
        <v>36</v>
      </c>
      <c r="C48" s="256" t="s">
        <v>777</v>
      </c>
      <c r="D48" s="257">
        <v>4538</v>
      </c>
      <c r="E48" s="257">
        <f>691</f>
        <v>691</v>
      </c>
      <c r="F48" s="258">
        <f t="shared" si="35"/>
        <v>0.15226972234464523</v>
      </c>
      <c r="G48" s="257">
        <f t="shared" si="36"/>
        <v>2386</v>
      </c>
      <c r="H48" s="258">
        <f t="shared" si="37"/>
        <v>0.52578228294402818</v>
      </c>
      <c r="I48" s="257">
        <v>0</v>
      </c>
      <c r="J48" s="258">
        <f t="shared" si="38"/>
        <v>0</v>
      </c>
      <c r="K48" s="257">
        <v>0</v>
      </c>
      <c r="L48" s="258">
        <f t="shared" si="39"/>
        <v>0</v>
      </c>
      <c r="M48" s="257">
        <v>0</v>
      </c>
      <c r="N48" s="258">
        <f t="shared" si="40"/>
        <v>0</v>
      </c>
      <c r="O48" s="257">
        <v>0</v>
      </c>
      <c r="P48" s="258">
        <f t="shared" si="41"/>
        <v>0</v>
      </c>
      <c r="Q48" s="257">
        <f t="shared" si="42"/>
        <v>3077</v>
      </c>
      <c r="R48" s="264">
        <f t="shared" si="43"/>
        <v>0.67805200528867338</v>
      </c>
      <c r="S48" s="257">
        <v>1461</v>
      </c>
      <c r="T48" s="258">
        <f t="shared" si="11"/>
        <v>0.32194799471132657</v>
      </c>
      <c r="U48" s="259" t="s">
        <v>736</v>
      </c>
      <c r="V48" s="259"/>
    </row>
    <row r="49" spans="1:22" ht="12.6" customHeight="1" x14ac:dyDescent="0.2">
      <c r="A49" s="499" t="s">
        <v>767</v>
      </c>
      <c r="B49" s="256">
        <f t="shared" si="44"/>
        <v>37</v>
      </c>
      <c r="C49" s="256" t="s">
        <v>778</v>
      </c>
      <c r="D49" s="257">
        <v>3731</v>
      </c>
      <c r="E49" s="257">
        <f>81*2.4</f>
        <v>194.4</v>
      </c>
      <c r="F49" s="258">
        <f t="shared" si="35"/>
        <v>5.2103993567408205E-2</v>
      </c>
      <c r="G49" s="257">
        <f t="shared" si="36"/>
        <v>2473.6</v>
      </c>
      <c r="H49" s="258">
        <f t="shared" si="37"/>
        <v>0.6629857946931117</v>
      </c>
      <c r="I49" s="257">
        <v>0</v>
      </c>
      <c r="J49" s="258">
        <f t="shared" si="38"/>
        <v>0</v>
      </c>
      <c r="K49" s="257">
        <v>0</v>
      </c>
      <c r="L49" s="258">
        <f t="shared" si="39"/>
        <v>0</v>
      </c>
      <c r="M49" s="257">
        <v>0</v>
      </c>
      <c r="N49" s="258">
        <f t="shared" si="40"/>
        <v>0</v>
      </c>
      <c r="O49" s="257">
        <v>0</v>
      </c>
      <c r="P49" s="258">
        <f t="shared" si="41"/>
        <v>0</v>
      </c>
      <c r="Q49" s="257">
        <f t="shared" si="42"/>
        <v>2668</v>
      </c>
      <c r="R49" s="264">
        <f t="shared" si="43"/>
        <v>0.71508978826051994</v>
      </c>
      <c r="S49" s="257">
        <v>1063</v>
      </c>
      <c r="T49" s="258">
        <f t="shared" si="11"/>
        <v>0.28491021173948006</v>
      </c>
      <c r="U49" s="259" t="s">
        <v>736</v>
      </c>
      <c r="V49" s="259"/>
    </row>
    <row r="50" spans="1:22" ht="12" customHeight="1" x14ac:dyDescent="0.2">
      <c r="A50" s="499" t="s">
        <v>767</v>
      </c>
      <c r="B50" s="501" t="s">
        <v>23</v>
      </c>
      <c r="C50" s="501"/>
      <c r="D50" s="261">
        <f>SUM(D39:D49)</f>
        <v>53018</v>
      </c>
      <c r="E50" s="261">
        <f>SUM(E39:E49)</f>
        <v>11702.72</v>
      </c>
      <c r="F50" s="262">
        <f t="shared" si="35"/>
        <v>0.22073107246595494</v>
      </c>
      <c r="G50" s="261">
        <f>SUM(G39:G49)</f>
        <v>25794.68</v>
      </c>
      <c r="H50" s="262">
        <f t="shared" si="37"/>
        <v>0.48652683994115209</v>
      </c>
      <c r="I50" s="261">
        <f>SUM(I39:I49)</f>
        <v>3054.8</v>
      </c>
      <c r="J50" s="262">
        <f t="shared" si="38"/>
        <v>5.7618167414840243E-2</v>
      </c>
      <c r="K50" s="261">
        <f>SUM(K39:K49)</f>
        <v>1804.7999999999997</v>
      </c>
      <c r="L50" s="262">
        <f t="shared" si="39"/>
        <v>3.4041269002980115E-2</v>
      </c>
      <c r="M50" s="261">
        <f>SUM(M39:M49)</f>
        <v>0</v>
      </c>
      <c r="N50" s="262">
        <f t="shared" si="40"/>
        <v>0</v>
      </c>
      <c r="O50" s="261">
        <f>SUM(O39:O49)</f>
        <v>0</v>
      </c>
      <c r="P50" s="262">
        <f t="shared" si="41"/>
        <v>0</v>
      </c>
      <c r="Q50" s="261">
        <f>SUM(Q39:Q49)</f>
        <v>42357</v>
      </c>
      <c r="R50" s="262">
        <f>Q50/D50</f>
        <v>0.79891734882492738</v>
      </c>
      <c r="S50" s="261">
        <f t="shared" ref="S50:V50" si="45">SUM(S39:S49)</f>
        <v>10661.25</v>
      </c>
      <c r="T50" s="262">
        <f t="shared" si="11"/>
        <v>0.20108736655475498</v>
      </c>
      <c r="U50" s="263">
        <f t="shared" si="45"/>
        <v>0</v>
      </c>
      <c r="V50" s="263">
        <f t="shared" si="45"/>
        <v>0</v>
      </c>
    </row>
    <row r="51" spans="1:22" ht="12.2" customHeight="1" x14ac:dyDescent="0.2">
      <c r="A51" s="265"/>
      <c r="B51" s="502" t="s">
        <v>25</v>
      </c>
      <c r="C51" s="502"/>
      <c r="D51" s="261">
        <f>D50+D37+D26+D16+D9</f>
        <v>216734</v>
      </c>
      <c r="E51" s="261">
        <f>E50+E37+E26+E16+E9</f>
        <v>26683.670000000002</v>
      </c>
      <c r="F51" s="262">
        <f t="shared" si="35"/>
        <v>0.12311713898142425</v>
      </c>
      <c r="G51" s="261">
        <f>G50+G37+G26+G16+G9</f>
        <v>113012.79</v>
      </c>
      <c r="H51" s="262">
        <f t="shared" si="37"/>
        <v>0.52143544621517612</v>
      </c>
      <c r="I51" s="261">
        <f>I50+I37+I26+I16+I9</f>
        <v>26030.14</v>
      </c>
      <c r="J51" s="262">
        <f t="shared" si="38"/>
        <v>0.12010178375335664</v>
      </c>
      <c r="K51" s="261">
        <f>K50+K37+K26+K16+K9</f>
        <v>8293.4</v>
      </c>
      <c r="L51" s="262">
        <f t="shared" si="39"/>
        <v>3.8265339079239985E-2</v>
      </c>
      <c r="M51" s="261">
        <f>M50+M37+M26+M16+M9</f>
        <v>0</v>
      </c>
      <c r="N51" s="262">
        <f t="shared" si="40"/>
        <v>0</v>
      </c>
      <c r="O51" s="261">
        <f>O50+O37+O26+O16+O9</f>
        <v>0</v>
      </c>
      <c r="P51" s="262">
        <f t="shared" si="41"/>
        <v>0</v>
      </c>
      <c r="Q51" s="261">
        <f t="shared" ref="Q51:V51" si="46">Q50+Q37+Q26+Q16+Q9</f>
        <v>174020</v>
      </c>
      <c r="R51" s="262">
        <f>Q51/D51</f>
        <v>0.8029197080291971</v>
      </c>
      <c r="S51" s="261">
        <f t="shared" si="46"/>
        <v>42714.25</v>
      </c>
      <c r="T51" s="262">
        <f t="shared" si="11"/>
        <v>0.1970814454584883</v>
      </c>
      <c r="U51" s="263">
        <f t="shared" si="46"/>
        <v>0</v>
      </c>
      <c r="V51" s="263">
        <f t="shared" si="46"/>
        <v>0</v>
      </c>
    </row>
  </sheetData>
  <mergeCells count="30">
    <mergeCell ref="A38:A50"/>
    <mergeCell ref="B38:C38"/>
    <mergeCell ref="B50:C50"/>
    <mergeCell ref="B51:C51"/>
    <mergeCell ref="A17:A26"/>
    <mergeCell ref="B17:C17"/>
    <mergeCell ref="B26:C26"/>
    <mergeCell ref="A27:A37"/>
    <mergeCell ref="B27:C27"/>
    <mergeCell ref="B37:C37"/>
    <mergeCell ref="A4:A9"/>
    <mergeCell ref="B4:C4"/>
    <mergeCell ref="B9:C9"/>
    <mergeCell ref="A10:A16"/>
    <mergeCell ref="B10:C10"/>
    <mergeCell ref="B16:C16"/>
    <mergeCell ref="S1:T2"/>
    <mergeCell ref="U1:V2"/>
    <mergeCell ref="E2:F2"/>
    <mergeCell ref="G2:H2"/>
    <mergeCell ref="I2:J2"/>
    <mergeCell ref="K2:L2"/>
    <mergeCell ref="M2:N2"/>
    <mergeCell ref="O2:P2"/>
    <mergeCell ref="Q1:R2"/>
    <mergeCell ref="A1:A3"/>
    <mergeCell ref="B1:C3"/>
    <mergeCell ref="D1:D3"/>
    <mergeCell ref="E1:H1"/>
    <mergeCell ref="I1:P1"/>
  </mergeCells>
  <pageMargins left="0.25" right="0.25" top="0.75" bottom="0.75" header="0.3" footer="0.3"/>
  <pageSetup paperSize="175" scale="9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192"/>
  <sheetViews>
    <sheetView view="pageBreakPreview" topLeftCell="A4" zoomScale="115" zoomScaleNormal="75" zoomScaleSheetLayoutView="115" workbookViewId="0">
      <pane ySplit="7" topLeftCell="A170" activePane="bottomLeft" state="frozen"/>
      <selection activeCell="A4" sqref="A4"/>
      <selection pane="bottomLeft" activeCell="AJ13" sqref="AJ13"/>
    </sheetView>
  </sheetViews>
  <sheetFormatPr defaultColWidth="8.7109375" defaultRowHeight="12.75" x14ac:dyDescent="0.2"/>
  <cols>
    <col min="1" max="1" width="3.85546875" style="267" customWidth="1"/>
    <col min="2" max="2" width="17.28515625" style="267" customWidth="1"/>
    <col min="3" max="3" width="13.7109375" style="267" customWidth="1"/>
    <col min="4" max="4" width="16.85546875" style="267" customWidth="1"/>
    <col min="5" max="6" width="10" style="267" customWidth="1"/>
    <col min="7" max="7" width="10.140625" style="267" hidden="1" customWidth="1"/>
    <col min="8" max="13" width="0" style="267" hidden="1" customWidth="1"/>
    <col min="14" max="14" width="9.85546875" style="267" hidden="1" customWidth="1"/>
    <col min="15" max="15" width="9.5703125" style="267" hidden="1" customWidth="1"/>
    <col min="16" max="16" width="11.28515625" style="267" hidden="1" customWidth="1"/>
    <col min="17" max="25" width="0" style="267" hidden="1" customWidth="1"/>
    <col min="26" max="26" width="9.5703125" style="267" hidden="1" customWidth="1"/>
    <col min="27" max="31" width="0" style="267" hidden="1" customWidth="1"/>
    <col min="32" max="32" width="10.28515625" style="267" hidden="1" customWidth="1"/>
    <col min="33" max="33" width="10.5703125" style="267" customWidth="1"/>
    <col min="34" max="34" width="12.7109375" style="267" customWidth="1"/>
    <col min="35" max="35" width="2.140625" style="267" customWidth="1"/>
    <col min="36" max="16384" width="8.7109375" style="267"/>
  </cols>
  <sheetData>
    <row r="1" spans="1:36" ht="18" x14ac:dyDescent="0.2">
      <c r="A1" s="528" t="s">
        <v>779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528"/>
      <c r="X1" s="528"/>
      <c r="Y1" s="528"/>
      <c r="Z1" s="528"/>
      <c r="AA1" s="528"/>
      <c r="AB1" s="528"/>
      <c r="AC1" s="528"/>
      <c r="AD1" s="528"/>
      <c r="AE1" s="528"/>
      <c r="AF1" s="528"/>
      <c r="AG1" s="528"/>
      <c r="AH1" s="528"/>
    </row>
    <row r="2" spans="1:36" ht="18" x14ac:dyDescent="0.25">
      <c r="A2" s="529" t="s">
        <v>780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29"/>
      <c r="W2" s="529"/>
      <c r="X2" s="529"/>
      <c r="Y2" s="529"/>
      <c r="Z2" s="529"/>
      <c r="AA2" s="529"/>
      <c r="AB2" s="529"/>
      <c r="AC2" s="529"/>
      <c r="AD2" s="529"/>
      <c r="AE2" s="529"/>
      <c r="AF2" s="529"/>
      <c r="AG2" s="529"/>
      <c r="AH2" s="529"/>
    </row>
    <row r="3" spans="1:36" ht="14.25" x14ac:dyDescent="0.2">
      <c r="A3" s="530" t="s">
        <v>781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  <c r="Q3" s="530"/>
      <c r="R3" s="530"/>
      <c r="S3" s="530"/>
      <c r="T3" s="530"/>
      <c r="U3" s="530"/>
      <c r="V3" s="530"/>
      <c r="W3" s="530"/>
      <c r="X3" s="530"/>
      <c r="Y3" s="530"/>
      <c r="Z3" s="530"/>
      <c r="AA3" s="530"/>
      <c r="AB3" s="530"/>
      <c r="AC3" s="530"/>
      <c r="AD3" s="530"/>
      <c r="AE3" s="530"/>
      <c r="AF3" s="530"/>
      <c r="AG3" s="530"/>
      <c r="AH3" s="530"/>
    </row>
    <row r="4" spans="1:36" ht="14.25" x14ac:dyDescent="0.2">
      <c r="A4" s="268" t="s">
        <v>782</v>
      </c>
      <c r="B4" s="269"/>
      <c r="C4" s="268" t="s">
        <v>783</v>
      </c>
      <c r="D4" s="269"/>
      <c r="E4" s="270"/>
      <c r="F4" s="271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3"/>
      <c r="AA4" s="273"/>
      <c r="AB4" s="273"/>
      <c r="AC4" s="273"/>
      <c r="AD4" s="273"/>
      <c r="AE4" s="273"/>
      <c r="AF4" s="273"/>
      <c r="AG4" s="273"/>
      <c r="AH4" s="273"/>
    </row>
    <row r="5" spans="1:36" ht="13.5" thickBot="1" x14ac:dyDescent="0.25">
      <c r="A5" s="531"/>
      <c r="B5" s="531"/>
      <c r="C5" s="274"/>
      <c r="D5" s="274"/>
      <c r="E5" s="275"/>
      <c r="F5" s="276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</row>
    <row r="6" spans="1:36" ht="13.5" thickBot="1" x14ac:dyDescent="0.25">
      <c r="A6" s="532" t="s">
        <v>784</v>
      </c>
      <c r="B6" s="533" t="s">
        <v>785</v>
      </c>
      <c r="C6" s="533" t="s">
        <v>786</v>
      </c>
      <c r="D6" s="533" t="s">
        <v>787</v>
      </c>
      <c r="E6" s="534" t="s">
        <v>788</v>
      </c>
      <c r="F6" s="534"/>
      <c r="G6" s="534"/>
      <c r="H6" s="535"/>
      <c r="I6" s="535"/>
      <c r="J6" s="535"/>
      <c r="K6" s="535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</row>
    <row r="7" spans="1:36" ht="13.5" thickBot="1" x14ac:dyDescent="0.25">
      <c r="A7" s="532"/>
      <c r="B7" s="533"/>
      <c r="C7" s="533"/>
      <c r="D7" s="533"/>
      <c r="E7" s="534"/>
      <c r="F7" s="534"/>
      <c r="G7" s="540" t="s">
        <v>789</v>
      </c>
      <c r="H7" s="540"/>
      <c r="I7" s="540"/>
      <c r="J7" s="540"/>
      <c r="K7" s="540"/>
      <c r="L7" s="540"/>
      <c r="M7" s="540"/>
      <c r="N7" s="540" t="s">
        <v>790</v>
      </c>
      <c r="O7" s="540"/>
      <c r="P7" s="521" t="s">
        <v>791</v>
      </c>
      <c r="Q7" s="524" t="s">
        <v>792</v>
      </c>
      <c r="R7" s="524"/>
      <c r="S7" s="524"/>
      <c r="T7" s="524"/>
      <c r="U7" s="524"/>
      <c r="V7" s="524"/>
      <c r="W7" s="524"/>
      <c r="X7" s="524" t="s">
        <v>793</v>
      </c>
      <c r="Y7" s="524"/>
      <c r="Z7" s="525" t="s">
        <v>794</v>
      </c>
      <c r="AA7" s="525"/>
      <c r="AB7" s="525"/>
      <c r="AC7" s="525"/>
      <c r="AD7" s="525"/>
      <c r="AE7" s="525"/>
      <c r="AF7" s="525"/>
      <c r="AG7" s="536" t="s">
        <v>795</v>
      </c>
      <c r="AH7" s="537"/>
    </row>
    <row r="8" spans="1:36" ht="13.5" thickBot="1" x14ac:dyDescent="0.25">
      <c r="A8" s="532"/>
      <c r="B8" s="533"/>
      <c r="C8" s="533"/>
      <c r="D8" s="533"/>
      <c r="E8" s="534"/>
      <c r="F8" s="534"/>
      <c r="G8" s="540" t="s">
        <v>796</v>
      </c>
      <c r="H8" s="540"/>
      <c r="I8" s="540"/>
      <c r="J8" s="540"/>
      <c r="K8" s="540"/>
      <c r="L8" s="540"/>
      <c r="M8" s="540"/>
      <c r="N8" s="540"/>
      <c r="O8" s="540"/>
      <c r="P8" s="522"/>
      <c r="Q8" s="534" t="s">
        <v>796</v>
      </c>
      <c r="R8" s="534"/>
      <c r="S8" s="534"/>
      <c r="T8" s="534"/>
      <c r="U8" s="534"/>
      <c r="V8" s="534"/>
      <c r="W8" s="534"/>
      <c r="X8" s="524"/>
      <c r="Y8" s="524"/>
      <c r="Z8" s="534" t="s">
        <v>796</v>
      </c>
      <c r="AA8" s="534"/>
      <c r="AB8" s="534"/>
      <c r="AC8" s="534"/>
      <c r="AD8" s="534"/>
      <c r="AE8" s="534"/>
      <c r="AF8" s="534"/>
      <c r="AG8" s="538"/>
      <c r="AH8" s="539"/>
    </row>
    <row r="9" spans="1:36" ht="46.5" customHeight="1" thickBot="1" x14ac:dyDescent="0.25">
      <c r="A9" s="532"/>
      <c r="B9" s="533"/>
      <c r="C9" s="533"/>
      <c r="D9" s="533"/>
      <c r="E9" s="278" t="s">
        <v>797</v>
      </c>
      <c r="F9" s="278" t="s">
        <v>798</v>
      </c>
      <c r="G9" s="279" t="s">
        <v>799</v>
      </c>
      <c r="H9" s="279" t="s">
        <v>800</v>
      </c>
      <c r="I9" s="279" t="s">
        <v>801</v>
      </c>
      <c r="J9" s="279" t="s">
        <v>802</v>
      </c>
      <c r="K9" s="279" t="s">
        <v>803</v>
      </c>
      <c r="L9" s="279" t="s">
        <v>804</v>
      </c>
      <c r="M9" s="279" t="s">
        <v>805</v>
      </c>
      <c r="N9" s="280" t="s">
        <v>806</v>
      </c>
      <c r="O9" s="280" t="s">
        <v>807</v>
      </c>
      <c r="P9" s="523"/>
      <c r="Q9" s="281" t="s">
        <v>808</v>
      </c>
      <c r="R9" s="281" t="s">
        <v>800</v>
      </c>
      <c r="S9" s="281" t="s">
        <v>801</v>
      </c>
      <c r="T9" s="281" t="s">
        <v>802</v>
      </c>
      <c r="U9" s="281" t="s">
        <v>803</v>
      </c>
      <c r="V9" s="281" t="s">
        <v>804</v>
      </c>
      <c r="W9" s="281" t="s">
        <v>805</v>
      </c>
      <c r="X9" s="281" t="s">
        <v>806</v>
      </c>
      <c r="Y9" s="281" t="s">
        <v>807</v>
      </c>
      <c r="Z9" s="282" t="s">
        <v>799</v>
      </c>
      <c r="AA9" s="282" t="s">
        <v>800</v>
      </c>
      <c r="AB9" s="282" t="s">
        <v>801</v>
      </c>
      <c r="AC9" s="282" t="s">
        <v>802</v>
      </c>
      <c r="AD9" s="282" t="s">
        <v>803</v>
      </c>
      <c r="AE9" s="282" t="s">
        <v>804</v>
      </c>
      <c r="AF9" s="282" t="s">
        <v>805</v>
      </c>
      <c r="AG9" s="283" t="s">
        <v>809</v>
      </c>
      <c r="AH9" s="283" t="s">
        <v>807</v>
      </c>
      <c r="AJ9" s="267" t="s">
        <v>810</v>
      </c>
    </row>
    <row r="10" spans="1:36" ht="13.5" thickBot="1" x14ac:dyDescent="0.25">
      <c r="A10" s="284">
        <v>1</v>
      </c>
      <c r="B10" s="285">
        <v>2</v>
      </c>
      <c r="C10" s="285"/>
      <c r="D10" s="285"/>
      <c r="E10" s="285">
        <v>3</v>
      </c>
      <c r="F10" s="284">
        <v>4</v>
      </c>
      <c r="G10" s="285">
        <v>5</v>
      </c>
      <c r="H10" s="285">
        <v>6</v>
      </c>
      <c r="I10" s="286">
        <v>7</v>
      </c>
      <c r="J10" s="286">
        <v>8</v>
      </c>
      <c r="K10" s="286">
        <v>9</v>
      </c>
      <c r="L10" s="284">
        <v>10</v>
      </c>
      <c r="M10" s="285">
        <v>11</v>
      </c>
      <c r="N10" s="285">
        <v>12</v>
      </c>
      <c r="O10" s="284">
        <v>13</v>
      </c>
      <c r="P10" s="286">
        <v>14</v>
      </c>
      <c r="Q10" s="285">
        <v>15</v>
      </c>
      <c r="R10" s="285">
        <v>16</v>
      </c>
      <c r="S10" s="286">
        <v>17</v>
      </c>
      <c r="T10" s="286">
        <v>18</v>
      </c>
      <c r="U10" s="286">
        <v>19</v>
      </c>
      <c r="V10" s="284">
        <v>20</v>
      </c>
      <c r="W10" s="285">
        <v>21</v>
      </c>
      <c r="X10" s="285">
        <v>22</v>
      </c>
      <c r="Y10" s="284">
        <v>23</v>
      </c>
      <c r="Z10" s="287" t="s">
        <v>811</v>
      </c>
      <c r="AA10" s="287" t="s">
        <v>812</v>
      </c>
      <c r="AB10" s="287" t="s">
        <v>813</v>
      </c>
      <c r="AC10" s="287" t="s">
        <v>814</v>
      </c>
      <c r="AD10" s="287" t="s">
        <v>815</v>
      </c>
      <c r="AE10" s="287" t="s">
        <v>816</v>
      </c>
      <c r="AF10" s="287" t="s">
        <v>817</v>
      </c>
      <c r="AG10" s="288" t="s">
        <v>818</v>
      </c>
      <c r="AH10" s="289" t="s">
        <v>819</v>
      </c>
    </row>
    <row r="11" spans="1:36" x14ac:dyDescent="0.2">
      <c r="A11" s="526">
        <v>1</v>
      </c>
      <c r="B11" s="527" t="s">
        <v>820</v>
      </c>
      <c r="C11" s="527" t="s">
        <v>821</v>
      </c>
      <c r="D11" s="290" t="s">
        <v>821</v>
      </c>
      <c r="E11" s="291">
        <v>3441</v>
      </c>
      <c r="F11" s="292">
        <v>12257</v>
      </c>
      <c r="G11" s="293">
        <v>769</v>
      </c>
      <c r="H11" s="293">
        <v>1778</v>
      </c>
      <c r="I11" s="293">
        <v>0</v>
      </c>
      <c r="J11" s="293">
        <v>5</v>
      </c>
      <c r="K11" s="293">
        <v>0</v>
      </c>
      <c r="L11" s="293">
        <v>0</v>
      </c>
      <c r="M11" s="293">
        <v>3</v>
      </c>
      <c r="N11" s="293">
        <f>SUM(G11:M11)</f>
        <v>2555</v>
      </c>
      <c r="O11" s="294">
        <f>N11/E11*100</f>
        <v>74.251671025864567</v>
      </c>
      <c r="P11" s="295">
        <f>E11-N11</f>
        <v>886</v>
      </c>
      <c r="Q11" s="293">
        <v>122</v>
      </c>
      <c r="R11" s="293">
        <v>91</v>
      </c>
      <c r="S11" s="293">
        <v>0</v>
      </c>
      <c r="T11" s="293">
        <v>19</v>
      </c>
      <c r="U11" s="293"/>
      <c r="V11" s="293">
        <v>0</v>
      </c>
      <c r="W11" s="293">
        <v>0</v>
      </c>
      <c r="X11" s="293">
        <f>Q11+R11+S11+T11+U11+V11+W11</f>
        <v>232</v>
      </c>
      <c r="Y11" s="293">
        <f>X11/E11*100</f>
        <v>6.7422260970648074</v>
      </c>
      <c r="Z11" s="296">
        <f t="shared" ref="Z11:AG14" si="0">G11+Q11</f>
        <v>891</v>
      </c>
      <c r="AA11" s="297">
        <f t="shared" si="0"/>
        <v>1869</v>
      </c>
      <c r="AB11" s="298">
        <f t="shared" si="0"/>
        <v>0</v>
      </c>
      <c r="AC11" s="298">
        <f t="shared" si="0"/>
        <v>24</v>
      </c>
      <c r="AD11" s="298">
        <f t="shared" si="0"/>
        <v>0</v>
      </c>
      <c r="AE11" s="298">
        <f t="shared" si="0"/>
        <v>0</v>
      </c>
      <c r="AF11" s="298">
        <f t="shared" si="0"/>
        <v>3</v>
      </c>
      <c r="AG11" s="298">
        <f t="shared" si="0"/>
        <v>2787</v>
      </c>
      <c r="AH11" s="299">
        <f>AG11/E11*100</f>
        <v>80.993897122929383</v>
      </c>
    </row>
    <row r="12" spans="1:36" x14ac:dyDescent="0.2">
      <c r="A12" s="507"/>
      <c r="B12" s="510"/>
      <c r="C12" s="510"/>
      <c r="D12" s="300" t="s">
        <v>822</v>
      </c>
      <c r="E12" s="291">
        <v>2133</v>
      </c>
      <c r="F12" s="292">
        <v>8532</v>
      </c>
      <c r="G12" s="291">
        <v>502</v>
      </c>
      <c r="H12" s="291">
        <v>786</v>
      </c>
      <c r="I12" s="291">
        <v>0</v>
      </c>
      <c r="J12" s="291">
        <v>17</v>
      </c>
      <c r="K12" s="291">
        <v>0</v>
      </c>
      <c r="L12" s="291">
        <v>0</v>
      </c>
      <c r="M12" s="291">
        <v>3</v>
      </c>
      <c r="N12" s="293">
        <f t="shared" ref="N12:N14" si="1">G12+H12+I12+J12+K12+L12+M12</f>
        <v>1308</v>
      </c>
      <c r="O12" s="294">
        <f t="shared" ref="O12:O45" si="2">N12/E12*100</f>
        <v>61.322081575246138</v>
      </c>
      <c r="P12" s="295">
        <f t="shared" ref="P12:P14" si="3">E12-N12</f>
        <v>825</v>
      </c>
      <c r="Q12" s="291">
        <v>140</v>
      </c>
      <c r="R12" s="291">
        <v>82</v>
      </c>
      <c r="S12" s="291">
        <v>0</v>
      </c>
      <c r="T12" s="291">
        <v>37</v>
      </c>
      <c r="U12" s="291">
        <v>0</v>
      </c>
      <c r="V12" s="291">
        <v>0</v>
      </c>
      <c r="W12" s="291">
        <v>0</v>
      </c>
      <c r="X12" s="293">
        <f t="shared" ref="X12:X14" si="4">Q12+R12+S12+T12+U12+V12+W12</f>
        <v>259</v>
      </c>
      <c r="Y12" s="293">
        <f t="shared" ref="Y12:Y14" si="5">X12/E12*100</f>
        <v>12.142522269104546</v>
      </c>
      <c r="Z12" s="296">
        <f t="shared" si="0"/>
        <v>642</v>
      </c>
      <c r="AA12" s="297">
        <f t="shared" si="0"/>
        <v>868</v>
      </c>
      <c r="AB12" s="298">
        <f t="shared" si="0"/>
        <v>0</v>
      </c>
      <c r="AC12" s="298">
        <f t="shared" si="0"/>
        <v>54</v>
      </c>
      <c r="AD12" s="298">
        <f t="shared" si="0"/>
        <v>0</v>
      </c>
      <c r="AE12" s="298">
        <f t="shared" si="0"/>
        <v>0</v>
      </c>
      <c r="AF12" s="298">
        <f t="shared" si="0"/>
        <v>3</v>
      </c>
      <c r="AG12" s="298">
        <f t="shared" si="0"/>
        <v>1567</v>
      </c>
      <c r="AH12" s="299">
        <f t="shared" ref="AH12:AH178" si="6">AG12/E12*100</f>
        <v>73.464603844350691</v>
      </c>
    </row>
    <row r="13" spans="1:36" x14ac:dyDescent="0.2">
      <c r="A13" s="507"/>
      <c r="B13" s="510"/>
      <c r="C13" s="510"/>
      <c r="D13" s="301" t="s">
        <v>823</v>
      </c>
      <c r="E13" s="291">
        <v>993</v>
      </c>
      <c r="F13" s="292">
        <v>3972</v>
      </c>
      <c r="G13" s="291">
        <v>597</v>
      </c>
      <c r="H13" s="291">
        <v>0</v>
      </c>
      <c r="I13" s="291">
        <v>0</v>
      </c>
      <c r="J13" s="291">
        <v>15</v>
      </c>
      <c r="K13" s="291">
        <v>0</v>
      </c>
      <c r="L13" s="291">
        <v>1</v>
      </c>
      <c r="M13" s="291">
        <v>3</v>
      </c>
      <c r="N13" s="293">
        <f t="shared" si="1"/>
        <v>616</v>
      </c>
      <c r="O13" s="294">
        <f t="shared" si="2"/>
        <v>62.03423967774421</v>
      </c>
      <c r="P13" s="295">
        <f t="shared" si="3"/>
        <v>377</v>
      </c>
      <c r="Q13" s="291">
        <v>106</v>
      </c>
      <c r="R13" s="291">
        <v>0</v>
      </c>
      <c r="S13" s="291">
        <v>0</v>
      </c>
      <c r="T13" s="291">
        <v>45</v>
      </c>
      <c r="U13" s="291">
        <v>0</v>
      </c>
      <c r="V13" s="291">
        <v>20</v>
      </c>
      <c r="W13" s="291"/>
      <c r="X13" s="293">
        <f t="shared" si="4"/>
        <v>171</v>
      </c>
      <c r="Y13" s="293">
        <f t="shared" si="5"/>
        <v>17.220543806646525</v>
      </c>
      <c r="Z13" s="296">
        <f t="shared" si="0"/>
        <v>703</v>
      </c>
      <c r="AA13" s="297">
        <f t="shared" si="0"/>
        <v>0</v>
      </c>
      <c r="AB13" s="298">
        <f t="shared" si="0"/>
        <v>0</v>
      </c>
      <c r="AC13" s="298">
        <f t="shared" si="0"/>
        <v>60</v>
      </c>
      <c r="AD13" s="298">
        <f t="shared" si="0"/>
        <v>0</v>
      </c>
      <c r="AE13" s="298">
        <f t="shared" si="0"/>
        <v>21</v>
      </c>
      <c r="AF13" s="298">
        <f t="shared" si="0"/>
        <v>3</v>
      </c>
      <c r="AG13" s="298">
        <f t="shared" si="0"/>
        <v>787</v>
      </c>
      <c r="AH13" s="299">
        <f t="shared" si="6"/>
        <v>79.254783484390728</v>
      </c>
    </row>
    <row r="14" spans="1:36" x14ac:dyDescent="0.2">
      <c r="A14" s="507"/>
      <c r="B14" s="510"/>
      <c r="C14" s="510"/>
      <c r="D14" s="301" t="s">
        <v>824</v>
      </c>
      <c r="E14" s="291">
        <v>471.25</v>
      </c>
      <c r="F14" s="292">
        <v>1885</v>
      </c>
      <c r="G14" s="291">
        <v>290</v>
      </c>
      <c r="H14" s="291">
        <v>0</v>
      </c>
      <c r="I14" s="291">
        <v>0</v>
      </c>
      <c r="J14" s="291">
        <v>0</v>
      </c>
      <c r="K14" s="291">
        <v>0</v>
      </c>
      <c r="L14" s="291">
        <v>0</v>
      </c>
      <c r="M14" s="291">
        <v>0</v>
      </c>
      <c r="N14" s="293">
        <f t="shared" si="1"/>
        <v>290</v>
      </c>
      <c r="O14" s="294">
        <f t="shared" si="2"/>
        <v>61.53846153846154</v>
      </c>
      <c r="P14" s="295">
        <f t="shared" si="3"/>
        <v>181.25</v>
      </c>
      <c r="Q14" s="291">
        <v>42</v>
      </c>
      <c r="R14" s="291">
        <v>0</v>
      </c>
      <c r="S14" s="291">
        <v>0</v>
      </c>
      <c r="T14" s="291">
        <v>27</v>
      </c>
      <c r="U14" s="291">
        <v>0</v>
      </c>
      <c r="V14" s="291">
        <v>0</v>
      </c>
      <c r="W14" s="291">
        <v>0</v>
      </c>
      <c r="X14" s="293">
        <f t="shared" si="4"/>
        <v>69</v>
      </c>
      <c r="Y14" s="293">
        <f t="shared" si="5"/>
        <v>14.641909814323609</v>
      </c>
      <c r="Z14" s="296">
        <f t="shared" si="0"/>
        <v>332</v>
      </c>
      <c r="AA14" s="297">
        <f t="shared" si="0"/>
        <v>0</v>
      </c>
      <c r="AB14" s="298">
        <f t="shared" si="0"/>
        <v>0</v>
      </c>
      <c r="AC14" s="298">
        <f t="shared" si="0"/>
        <v>27</v>
      </c>
      <c r="AD14" s="298">
        <f t="shared" si="0"/>
        <v>0</v>
      </c>
      <c r="AE14" s="298">
        <f t="shared" si="0"/>
        <v>0</v>
      </c>
      <c r="AF14" s="298">
        <f t="shared" si="0"/>
        <v>0</v>
      </c>
      <c r="AG14" s="298">
        <f t="shared" si="0"/>
        <v>359</v>
      </c>
      <c r="AH14" s="299">
        <f t="shared" si="6"/>
        <v>76.180371352785144</v>
      </c>
    </row>
    <row r="15" spans="1:36" x14ac:dyDescent="0.2">
      <c r="A15" s="507"/>
      <c r="B15" s="510"/>
      <c r="C15" s="512"/>
      <c r="D15" s="302" t="s">
        <v>825</v>
      </c>
      <c r="E15" s="303">
        <f>SUM(E11:E14)</f>
        <v>7038.25</v>
      </c>
      <c r="F15" s="303">
        <f>SUM(F11:F14)</f>
        <v>26646</v>
      </c>
      <c r="G15" s="303">
        <f t="shared" ref="G15:AG15" si="7">SUM(G11:G14)</f>
        <v>2158</v>
      </c>
      <c r="H15" s="303">
        <f t="shared" si="7"/>
        <v>2564</v>
      </c>
      <c r="I15" s="303">
        <f t="shared" si="7"/>
        <v>0</v>
      </c>
      <c r="J15" s="303">
        <f t="shared" si="7"/>
        <v>37</v>
      </c>
      <c r="K15" s="303">
        <f t="shared" si="7"/>
        <v>0</v>
      </c>
      <c r="L15" s="303">
        <f t="shared" si="7"/>
        <v>1</v>
      </c>
      <c r="M15" s="303">
        <f t="shared" si="7"/>
        <v>9</v>
      </c>
      <c r="N15" s="303">
        <f t="shared" si="7"/>
        <v>4769</v>
      </c>
      <c r="O15" s="304">
        <f t="shared" si="2"/>
        <v>67.758320605264089</v>
      </c>
      <c r="P15" s="303">
        <f t="shared" si="7"/>
        <v>2269.25</v>
      </c>
      <c r="Q15" s="303">
        <f t="shared" si="7"/>
        <v>410</v>
      </c>
      <c r="R15" s="303">
        <f t="shared" si="7"/>
        <v>173</v>
      </c>
      <c r="S15" s="303">
        <f t="shared" si="7"/>
        <v>0</v>
      </c>
      <c r="T15" s="303">
        <f t="shared" si="7"/>
        <v>128</v>
      </c>
      <c r="U15" s="303">
        <f t="shared" si="7"/>
        <v>0</v>
      </c>
      <c r="V15" s="303">
        <f t="shared" si="7"/>
        <v>20</v>
      </c>
      <c r="W15" s="303">
        <f t="shared" si="7"/>
        <v>0</v>
      </c>
      <c r="X15" s="303">
        <f t="shared" si="7"/>
        <v>731</v>
      </c>
      <c r="Y15" s="303">
        <f t="shared" si="7"/>
        <v>50.747201987139491</v>
      </c>
      <c r="Z15" s="303">
        <f t="shared" si="7"/>
        <v>2568</v>
      </c>
      <c r="AA15" s="303">
        <f t="shared" si="7"/>
        <v>2737</v>
      </c>
      <c r="AB15" s="303">
        <f t="shared" si="7"/>
        <v>0</v>
      </c>
      <c r="AC15" s="303">
        <f t="shared" si="7"/>
        <v>165</v>
      </c>
      <c r="AD15" s="303">
        <f t="shared" si="7"/>
        <v>0</v>
      </c>
      <c r="AE15" s="303">
        <f t="shared" si="7"/>
        <v>21</v>
      </c>
      <c r="AF15" s="303">
        <f t="shared" si="7"/>
        <v>9</v>
      </c>
      <c r="AG15" s="303">
        <f t="shared" si="7"/>
        <v>5500</v>
      </c>
      <c r="AH15" s="305">
        <f t="shared" si="6"/>
        <v>78.144425105672582</v>
      </c>
      <c r="AJ15" s="267">
        <v>71.52</v>
      </c>
    </row>
    <row r="16" spans="1:36" x14ac:dyDescent="0.2">
      <c r="A16" s="507"/>
      <c r="B16" s="510"/>
      <c r="C16" s="509" t="s">
        <v>826</v>
      </c>
      <c r="D16" s="300" t="s">
        <v>826</v>
      </c>
      <c r="E16" s="291">
        <v>3103.5</v>
      </c>
      <c r="F16" s="306">
        <v>12414</v>
      </c>
      <c r="G16" s="291">
        <v>831</v>
      </c>
      <c r="H16" s="291">
        <v>1132</v>
      </c>
      <c r="I16" s="291">
        <v>0</v>
      </c>
      <c r="J16" s="291">
        <v>20</v>
      </c>
      <c r="K16" s="291">
        <v>0</v>
      </c>
      <c r="L16" s="291">
        <v>0</v>
      </c>
      <c r="M16" s="291">
        <v>3</v>
      </c>
      <c r="N16" s="293">
        <f t="shared" ref="N16:N17" si="8">G16+H16+I16+J16+K16+L16+M16</f>
        <v>1986</v>
      </c>
      <c r="O16" s="294">
        <f t="shared" si="2"/>
        <v>63.992266795553412</v>
      </c>
      <c r="P16" s="295">
        <f t="shared" ref="P16:P22" si="9">E16-N16</f>
        <v>1117.5</v>
      </c>
      <c r="Q16" s="291">
        <v>130</v>
      </c>
      <c r="R16" s="291">
        <v>162</v>
      </c>
      <c r="S16" s="291">
        <v>0</v>
      </c>
      <c r="T16" s="291">
        <v>20</v>
      </c>
      <c r="U16" s="291">
        <v>0</v>
      </c>
      <c r="V16" s="291">
        <v>0</v>
      </c>
      <c r="W16" s="291">
        <v>0</v>
      </c>
      <c r="X16" s="293">
        <f t="shared" ref="X16:X22" si="10">Q16+R16+S16+T16+U16+V16+W16</f>
        <v>312</v>
      </c>
      <c r="Y16" s="293">
        <f t="shared" ref="Y16:Y22" si="11">X16/E16*100</f>
        <v>10.053165780570323</v>
      </c>
      <c r="Z16" s="296">
        <f t="shared" ref="Z16:AG22" si="12">G16+Q16</f>
        <v>961</v>
      </c>
      <c r="AA16" s="297">
        <f t="shared" si="12"/>
        <v>1294</v>
      </c>
      <c r="AB16" s="298">
        <f t="shared" si="12"/>
        <v>0</v>
      </c>
      <c r="AC16" s="298">
        <f t="shared" si="12"/>
        <v>40</v>
      </c>
      <c r="AD16" s="298">
        <f t="shared" si="12"/>
        <v>0</v>
      </c>
      <c r="AE16" s="298">
        <f t="shared" si="12"/>
        <v>0</v>
      </c>
      <c r="AF16" s="298">
        <f t="shared" si="12"/>
        <v>3</v>
      </c>
      <c r="AG16" s="298">
        <f t="shared" si="12"/>
        <v>2298</v>
      </c>
      <c r="AH16" s="299">
        <f t="shared" si="6"/>
        <v>74.04543257612373</v>
      </c>
    </row>
    <row r="17" spans="1:36" x14ac:dyDescent="0.2">
      <c r="A17" s="507"/>
      <c r="B17" s="510"/>
      <c r="C17" s="512"/>
      <c r="D17" s="307" t="s">
        <v>825</v>
      </c>
      <c r="E17" s="303">
        <v>3104</v>
      </c>
      <c r="F17" s="308">
        <v>12414</v>
      </c>
      <c r="G17" s="303">
        <v>831</v>
      </c>
      <c r="H17" s="303">
        <v>1132</v>
      </c>
      <c r="I17" s="303">
        <v>0</v>
      </c>
      <c r="J17" s="303">
        <v>20</v>
      </c>
      <c r="K17" s="303">
        <v>0</v>
      </c>
      <c r="L17" s="303">
        <v>0</v>
      </c>
      <c r="M17" s="303">
        <v>3</v>
      </c>
      <c r="N17" s="309">
        <f t="shared" si="8"/>
        <v>1986</v>
      </c>
      <c r="O17" s="304">
        <f t="shared" si="2"/>
        <v>63.981958762886592</v>
      </c>
      <c r="P17" s="310">
        <f t="shared" si="9"/>
        <v>1118</v>
      </c>
      <c r="Q17" s="303">
        <v>130</v>
      </c>
      <c r="R17" s="303">
        <v>162</v>
      </c>
      <c r="S17" s="303">
        <v>0</v>
      </c>
      <c r="T17" s="303">
        <v>20</v>
      </c>
      <c r="U17" s="303">
        <v>0</v>
      </c>
      <c r="V17" s="303">
        <v>0</v>
      </c>
      <c r="W17" s="303">
        <v>0</v>
      </c>
      <c r="X17" s="309">
        <f t="shared" si="10"/>
        <v>312</v>
      </c>
      <c r="Y17" s="309">
        <f t="shared" si="11"/>
        <v>10.051546391752577</v>
      </c>
      <c r="Z17" s="311">
        <f t="shared" si="12"/>
        <v>961</v>
      </c>
      <c r="AA17" s="312">
        <f t="shared" si="12"/>
        <v>1294</v>
      </c>
      <c r="AB17" s="313">
        <f t="shared" si="12"/>
        <v>0</v>
      </c>
      <c r="AC17" s="313">
        <f t="shared" si="12"/>
        <v>40</v>
      </c>
      <c r="AD17" s="313">
        <f t="shared" si="12"/>
        <v>0</v>
      </c>
      <c r="AE17" s="313">
        <f t="shared" si="12"/>
        <v>0</v>
      </c>
      <c r="AF17" s="313">
        <f t="shared" si="12"/>
        <v>3</v>
      </c>
      <c r="AG17" s="313">
        <f t="shared" si="12"/>
        <v>2298</v>
      </c>
      <c r="AH17" s="305">
        <f t="shared" si="6"/>
        <v>74.033505154639172</v>
      </c>
    </row>
    <row r="18" spans="1:36" x14ac:dyDescent="0.2">
      <c r="A18" s="507"/>
      <c r="B18" s="510"/>
      <c r="C18" s="509" t="s">
        <v>827</v>
      </c>
      <c r="D18" s="301" t="s">
        <v>827</v>
      </c>
      <c r="E18" s="291">
        <v>3061</v>
      </c>
      <c r="F18" s="306">
        <v>12244</v>
      </c>
      <c r="G18" s="293">
        <v>1899</v>
      </c>
      <c r="H18" s="293">
        <v>90</v>
      </c>
      <c r="I18" s="293">
        <v>0</v>
      </c>
      <c r="J18" s="293">
        <v>30</v>
      </c>
      <c r="K18" s="293">
        <v>0</v>
      </c>
      <c r="L18" s="293">
        <v>0</v>
      </c>
      <c r="M18" s="293">
        <v>0</v>
      </c>
      <c r="N18" s="293">
        <f t="shared" ref="N18:N22" si="13">SUM(G18:M18)</f>
        <v>2019</v>
      </c>
      <c r="O18" s="294">
        <f t="shared" si="2"/>
        <v>65.958836981378639</v>
      </c>
      <c r="P18" s="295">
        <f t="shared" si="9"/>
        <v>1042</v>
      </c>
      <c r="Q18" s="293">
        <v>0</v>
      </c>
      <c r="R18" s="293">
        <v>0</v>
      </c>
      <c r="S18" s="293">
        <v>0</v>
      </c>
      <c r="T18" s="293">
        <v>0</v>
      </c>
      <c r="U18" s="293">
        <v>0</v>
      </c>
      <c r="V18" s="293">
        <v>0</v>
      </c>
      <c r="W18" s="293">
        <v>0</v>
      </c>
      <c r="X18" s="293">
        <f t="shared" si="10"/>
        <v>0</v>
      </c>
      <c r="Y18" s="293">
        <f t="shared" si="11"/>
        <v>0</v>
      </c>
      <c r="Z18" s="296">
        <f t="shared" si="12"/>
        <v>1899</v>
      </c>
      <c r="AA18" s="297">
        <f t="shared" si="12"/>
        <v>90</v>
      </c>
      <c r="AB18" s="298">
        <f t="shared" si="12"/>
        <v>0</v>
      </c>
      <c r="AC18" s="298">
        <f t="shared" si="12"/>
        <v>30</v>
      </c>
      <c r="AD18" s="298">
        <f t="shared" si="12"/>
        <v>0</v>
      </c>
      <c r="AE18" s="298">
        <f t="shared" si="12"/>
        <v>0</v>
      </c>
      <c r="AF18" s="298">
        <f t="shared" si="12"/>
        <v>0</v>
      </c>
      <c r="AG18" s="298">
        <f t="shared" si="12"/>
        <v>2019</v>
      </c>
      <c r="AH18" s="299">
        <f t="shared" si="6"/>
        <v>65.958836981378639</v>
      </c>
    </row>
    <row r="19" spans="1:36" x14ac:dyDescent="0.2">
      <c r="A19" s="507"/>
      <c r="B19" s="510"/>
      <c r="C19" s="510"/>
      <c r="D19" s="301" t="s">
        <v>828</v>
      </c>
      <c r="E19" s="291">
        <v>1966.5</v>
      </c>
      <c r="F19" s="306">
        <v>7866</v>
      </c>
      <c r="G19" s="293">
        <v>766</v>
      </c>
      <c r="H19" s="293">
        <v>26</v>
      </c>
      <c r="I19" s="293">
        <v>0</v>
      </c>
      <c r="J19" s="293">
        <v>250</v>
      </c>
      <c r="K19" s="293">
        <v>0</v>
      </c>
      <c r="L19" s="293">
        <v>0</v>
      </c>
      <c r="M19" s="293">
        <v>0</v>
      </c>
      <c r="N19" s="293">
        <f t="shared" si="13"/>
        <v>1042</v>
      </c>
      <c r="O19" s="294">
        <f t="shared" si="2"/>
        <v>52.987541317060774</v>
      </c>
      <c r="P19" s="295">
        <f t="shared" si="9"/>
        <v>924.5</v>
      </c>
      <c r="Q19" s="293">
        <v>0</v>
      </c>
      <c r="R19" s="293">
        <v>0</v>
      </c>
      <c r="S19" s="293">
        <v>0</v>
      </c>
      <c r="T19" s="293">
        <v>0</v>
      </c>
      <c r="U19" s="293">
        <v>0</v>
      </c>
      <c r="V19" s="293">
        <v>0</v>
      </c>
      <c r="W19" s="293">
        <v>0</v>
      </c>
      <c r="X19" s="293">
        <f t="shared" si="10"/>
        <v>0</v>
      </c>
      <c r="Y19" s="293">
        <f t="shared" si="11"/>
        <v>0</v>
      </c>
      <c r="Z19" s="296">
        <f t="shared" si="12"/>
        <v>766</v>
      </c>
      <c r="AA19" s="297">
        <f t="shared" si="12"/>
        <v>26</v>
      </c>
      <c r="AB19" s="298">
        <f t="shared" si="12"/>
        <v>0</v>
      </c>
      <c r="AC19" s="298">
        <f t="shared" si="12"/>
        <v>250</v>
      </c>
      <c r="AD19" s="298">
        <f t="shared" si="12"/>
        <v>0</v>
      </c>
      <c r="AE19" s="298">
        <f t="shared" si="12"/>
        <v>0</v>
      </c>
      <c r="AF19" s="298">
        <f t="shared" si="12"/>
        <v>0</v>
      </c>
      <c r="AG19" s="298">
        <f t="shared" si="12"/>
        <v>1042</v>
      </c>
      <c r="AH19" s="299">
        <f t="shared" si="6"/>
        <v>52.987541317060774</v>
      </c>
    </row>
    <row r="20" spans="1:36" x14ac:dyDescent="0.2">
      <c r="A20" s="507"/>
      <c r="B20" s="510"/>
      <c r="C20" s="510"/>
      <c r="D20" s="301" t="s">
        <v>829</v>
      </c>
      <c r="E20" s="291">
        <v>1697</v>
      </c>
      <c r="F20" s="306">
        <v>5331</v>
      </c>
      <c r="G20" s="293">
        <v>954</v>
      </c>
      <c r="H20" s="293">
        <v>0</v>
      </c>
      <c r="I20" s="293">
        <v>0</v>
      </c>
      <c r="J20" s="293">
        <v>40</v>
      </c>
      <c r="K20" s="293">
        <v>0</v>
      </c>
      <c r="L20" s="293">
        <v>0</v>
      </c>
      <c r="M20" s="293">
        <v>0</v>
      </c>
      <c r="N20" s="293">
        <f t="shared" si="13"/>
        <v>994</v>
      </c>
      <c r="O20" s="294">
        <f t="shared" si="2"/>
        <v>58.573954036535056</v>
      </c>
      <c r="P20" s="295">
        <f t="shared" si="9"/>
        <v>703</v>
      </c>
      <c r="Q20" s="293">
        <v>0</v>
      </c>
      <c r="R20" s="293">
        <v>0</v>
      </c>
      <c r="S20" s="293">
        <v>0</v>
      </c>
      <c r="T20" s="293">
        <v>0</v>
      </c>
      <c r="U20" s="293">
        <v>0</v>
      </c>
      <c r="V20" s="293">
        <v>0</v>
      </c>
      <c r="W20" s="293">
        <v>0</v>
      </c>
      <c r="X20" s="293">
        <f t="shared" si="10"/>
        <v>0</v>
      </c>
      <c r="Y20" s="293">
        <f t="shared" si="11"/>
        <v>0</v>
      </c>
      <c r="Z20" s="296">
        <f t="shared" si="12"/>
        <v>954</v>
      </c>
      <c r="AA20" s="297">
        <f t="shared" si="12"/>
        <v>0</v>
      </c>
      <c r="AB20" s="298">
        <f t="shared" si="12"/>
        <v>0</v>
      </c>
      <c r="AC20" s="298">
        <f t="shared" si="12"/>
        <v>40</v>
      </c>
      <c r="AD20" s="298">
        <f t="shared" si="12"/>
        <v>0</v>
      </c>
      <c r="AE20" s="298">
        <f t="shared" si="12"/>
        <v>0</v>
      </c>
      <c r="AF20" s="298">
        <f t="shared" si="12"/>
        <v>0</v>
      </c>
      <c r="AG20" s="298">
        <f t="shared" si="12"/>
        <v>994</v>
      </c>
      <c r="AH20" s="299">
        <f t="shared" si="6"/>
        <v>58.573954036535056</v>
      </c>
    </row>
    <row r="21" spans="1:36" x14ac:dyDescent="0.2">
      <c r="A21" s="507"/>
      <c r="B21" s="510"/>
      <c r="C21" s="510"/>
      <c r="D21" s="301" t="s">
        <v>830</v>
      </c>
      <c r="E21" s="291">
        <v>1158</v>
      </c>
      <c r="F21" s="306">
        <v>4970</v>
      </c>
      <c r="G21" s="293">
        <v>611</v>
      </c>
      <c r="H21" s="293">
        <v>0</v>
      </c>
      <c r="I21" s="293">
        <v>0</v>
      </c>
      <c r="J21" s="293">
        <v>0</v>
      </c>
      <c r="K21" s="293">
        <v>0</v>
      </c>
      <c r="L21" s="293">
        <v>0</v>
      </c>
      <c r="M21" s="293">
        <v>0</v>
      </c>
      <c r="N21" s="293">
        <f t="shared" si="13"/>
        <v>611</v>
      </c>
      <c r="O21" s="294">
        <f t="shared" si="2"/>
        <v>52.763385146804829</v>
      </c>
      <c r="P21" s="295">
        <f t="shared" si="9"/>
        <v>547</v>
      </c>
      <c r="Q21" s="293">
        <v>0</v>
      </c>
      <c r="R21" s="293">
        <v>0</v>
      </c>
      <c r="S21" s="293">
        <v>0</v>
      </c>
      <c r="T21" s="293">
        <v>0</v>
      </c>
      <c r="U21" s="293">
        <v>0</v>
      </c>
      <c r="V21" s="293">
        <v>0</v>
      </c>
      <c r="W21" s="293">
        <v>0</v>
      </c>
      <c r="X21" s="293">
        <f t="shared" si="10"/>
        <v>0</v>
      </c>
      <c r="Y21" s="293">
        <f t="shared" si="11"/>
        <v>0</v>
      </c>
      <c r="Z21" s="296">
        <f t="shared" si="12"/>
        <v>611</v>
      </c>
      <c r="AA21" s="297">
        <f t="shared" si="12"/>
        <v>0</v>
      </c>
      <c r="AB21" s="298">
        <f t="shared" si="12"/>
        <v>0</v>
      </c>
      <c r="AC21" s="298">
        <f t="shared" si="12"/>
        <v>0</v>
      </c>
      <c r="AD21" s="298">
        <f t="shared" si="12"/>
        <v>0</v>
      </c>
      <c r="AE21" s="298">
        <f t="shared" si="12"/>
        <v>0</v>
      </c>
      <c r="AF21" s="298">
        <f t="shared" si="12"/>
        <v>0</v>
      </c>
      <c r="AG21" s="298">
        <f t="shared" si="12"/>
        <v>611</v>
      </c>
      <c r="AH21" s="299">
        <f t="shared" si="6"/>
        <v>52.763385146804829</v>
      </c>
    </row>
    <row r="22" spans="1:36" x14ac:dyDescent="0.2">
      <c r="A22" s="507"/>
      <c r="B22" s="510"/>
      <c r="C22" s="510"/>
      <c r="D22" s="301" t="s">
        <v>831</v>
      </c>
      <c r="E22" s="291">
        <v>1340.75</v>
      </c>
      <c r="F22" s="306">
        <v>5363</v>
      </c>
      <c r="G22" s="293">
        <v>699</v>
      </c>
      <c r="H22" s="293">
        <v>0</v>
      </c>
      <c r="I22" s="293">
        <v>0</v>
      </c>
      <c r="J22" s="293">
        <v>0</v>
      </c>
      <c r="K22" s="293">
        <v>0</v>
      </c>
      <c r="L22" s="293">
        <v>0</v>
      </c>
      <c r="M22" s="293">
        <v>0</v>
      </c>
      <c r="N22" s="293">
        <f t="shared" si="13"/>
        <v>699</v>
      </c>
      <c r="O22" s="294">
        <f t="shared" si="2"/>
        <v>52.134999067685996</v>
      </c>
      <c r="P22" s="295">
        <f t="shared" si="9"/>
        <v>641.75</v>
      </c>
      <c r="Q22" s="293">
        <v>0</v>
      </c>
      <c r="R22" s="293">
        <v>0</v>
      </c>
      <c r="S22" s="293">
        <v>0</v>
      </c>
      <c r="T22" s="293">
        <v>0</v>
      </c>
      <c r="U22" s="293">
        <v>0</v>
      </c>
      <c r="V22" s="293">
        <v>0</v>
      </c>
      <c r="W22" s="293">
        <v>0</v>
      </c>
      <c r="X22" s="293">
        <f t="shared" si="10"/>
        <v>0</v>
      </c>
      <c r="Y22" s="293">
        <f t="shared" si="11"/>
        <v>0</v>
      </c>
      <c r="Z22" s="296">
        <f t="shared" si="12"/>
        <v>699</v>
      </c>
      <c r="AA22" s="297">
        <f t="shared" si="12"/>
        <v>0</v>
      </c>
      <c r="AB22" s="298">
        <f t="shared" si="12"/>
        <v>0</v>
      </c>
      <c r="AC22" s="298">
        <f t="shared" si="12"/>
        <v>0</v>
      </c>
      <c r="AD22" s="298">
        <f t="shared" si="12"/>
        <v>0</v>
      </c>
      <c r="AE22" s="298">
        <f t="shared" si="12"/>
        <v>0</v>
      </c>
      <c r="AF22" s="298">
        <f t="shared" si="12"/>
        <v>0</v>
      </c>
      <c r="AG22" s="298">
        <f t="shared" si="12"/>
        <v>699</v>
      </c>
      <c r="AH22" s="299">
        <f t="shared" si="6"/>
        <v>52.134999067685996</v>
      </c>
    </row>
    <row r="23" spans="1:36" x14ac:dyDescent="0.2">
      <c r="A23" s="516"/>
      <c r="B23" s="512"/>
      <c r="C23" s="512"/>
      <c r="D23" s="302" t="s">
        <v>825</v>
      </c>
      <c r="E23" s="303">
        <f>SUM(E18:E22)</f>
        <v>9223.25</v>
      </c>
      <c r="F23" s="303">
        <f>SUM(F18:F22)</f>
        <v>35774</v>
      </c>
      <c r="G23" s="303">
        <f t="shared" ref="G23:AG23" si="14">SUM(G18:G22)</f>
        <v>4929</v>
      </c>
      <c r="H23" s="303">
        <f t="shared" si="14"/>
        <v>116</v>
      </c>
      <c r="I23" s="303">
        <f t="shared" si="14"/>
        <v>0</v>
      </c>
      <c r="J23" s="303">
        <f t="shared" si="14"/>
        <v>320</v>
      </c>
      <c r="K23" s="303">
        <f t="shared" si="14"/>
        <v>0</v>
      </c>
      <c r="L23" s="303">
        <f t="shared" si="14"/>
        <v>0</v>
      </c>
      <c r="M23" s="303">
        <f t="shared" si="14"/>
        <v>0</v>
      </c>
      <c r="N23" s="303">
        <f t="shared" si="14"/>
        <v>5365</v>
      </c>
      <c r="O23" s="304">
        <f t="shared" si="2"/>
        <v>58.168216192773691</v>
      </c>
      <c r="P23" s="303">
        <f t="shared" si="14"/>
        <v>3858.25</v>
      </c>
      <c r="Q23" s="303">
        <f t="shared" si="14"/>
        <v>0</v>
      </c>
      <c r="R23" s="303">
        <f t="shared" si="14"/>
        <v>0</v>
      </c>
      <c r="S23" s="303">
        <f t="shared" si="14"/>
        <v>0</v>
      </c>
      <c r="T23" s="303">
        <f t="shared" si="14"/>
        <v>0</v>
      </c>
      <c r="U23" s="303">
        <f t="shared" si="14"/>
        <v>0</v>
      </c>
      <c r="V23" s="303">
        <f t="shared" si="14"/>
        <v>0</v>
      </c>
      <c r="W23" s="303">
        <f t="shared" si="14"/>
        <v>0</v>
      </c>
      <c r="X23" s="303">
        <f t="shared" si="14"/>
        <v>0</v>
      </c>
      <c r="Y23" s="303">
        <f t="shared" si="14"/>
        <v>0</v>
      </c>
      <c r="Z23" s="303">
        <f t="shared" si="14"/>
        <v>4929</v>
      </c>
      <c r="AA23" s="303">
        <f t="shared" si="14"/>
        <v>116</v>
      </c>
      <c r="AB23" s="303">
        <f t="shared" si="14"/>
        <v>0</v>
      </c>
      <c r="AC23" s="303">
        <f t="shared" si="14"/>
        <v>320</v>
      </c>
      <c r="AD23" s="303">
        <f t="shared" si="14"/>
        <v>0</v>
      </c>
      <c r="AE23" s="303">
        <f t="shared" si="14"/>
        <v>0</v>
      </c>
      <c r="AF23" s="303">
        <f t="shared" si="14"/>
        <v>0</v>
      </c>
      <c r="AG23" s="303">
        <f t="shared" si="14"/>
        <v>5365</v>
      </c>
      <c r="AH23" s="305">
        <f t="shared" si="6"/>
        <v>58.168216192773691</v>
      </c>
      <c r="AJ23" s="267">
        <v>65.87</v>
      </c>
    </row>
    <row r="24" spans="1:36" x14ac:dyDescent="0.2">
      <c r="A24" s="517">
        <v>2</v>
      </c>
      <c r="B24" s="509" t="s">
        <v>832</v>
      </c>
      <c r="C24" s="509" t="s">
        <v>833</v>
      </c>
      <c r="D24" s="300" t="s">
        <v>833</v>
      </c>
      <c r="E24" s="291">
        <v>1993.25</v>
      </c>
      <c r="F24" s="306">
        <v>7973</v>
      </c>
      <c r="G24" s="291">
        <f>349*2</f>
        <v>698</v>
      </c>
      <c r="H24" s="291">
        <v>717</v>
      </c>
      <c r="I24" s="291">
        <v>0</v>
      </c>
      <c r="J24" s="291">
        <v>2</v>
      </c>
      <c r="K24" s="291">
        <v>0</v>
      </c>
      <c r="L24" s="291">
        <v>0</v>
      </c>
      <c r="M24" s="291">
        <v>0</v>
      </c>
      <c r="N24" s="293">
        <f t="shared" ref="N24:N30" si="15">G24+H24+I24+J24+K24+L24+M24</f>
        <v>1417</v>
      </c>
      <c r="O24" s="294">
        <f t="shared" si="2"/>
        <v>71.089928508716909</v>
      </c>
      <c r="P24" s="295">
        <f t="shared" ref="P24:P30" si="16">E24-N24</f>
        <v>576.25</v>
      </c>
      <c r="Q24" s="291">
        <v>0</v>
      </c>
      <c r="R24" s="291">
        <v>0</v>
      </c>
      <c r="S24" s="291">
        <v>0</v>
      </c>
      <c r="T24" s="291">
        <v>0</v>
      </c>
      <c r="U24" s="291">
        <v>0</v>
      </c>
      <c r="V24" s="291">
        <v>0</v>
      </c>
      <c r="W24" s="291">
        <v>0</v>
      </c>
      <c r="X24" s="293">
        <f t="shared" ref="X24:X30" si="17">Q24+R24+S24+T24+U24+V24+W24</f>
        <v>0</v>
      </c>
      <c r="Y24" s="293">
        <f t="shared" ref="Y24:Y30" si="18">X24/E24*100</f>
        <v>0</v>
      </c>
      <c r="Z24" s="296">
        <f t="shared" ref="Z24:AG30" si="19">G24+Q24</f>
        <v>698</v>
      </c>
      <c r="AA24" s="297">
        <f t="shared" si="19"/>
        <v>717</v>
      </c>
      <c r="AB24" s="298">
        <f t="shared" si="19"/>
        <v>0</v>
      </c>
      <c r="AC24" s="298">
        <f t="shared" si="19"/>
        <v>2</v>
      </c>
      <c r="AD24" s="298">
        <f t="shared" si="19"/>
        <v>0</v>
      </c>
      <c r="AE24" s="298">
        <f t="shared" si="19"/>
        <v>0</v>
      </c>
      <c r="AF24" s="298">
        <f t="shared" si="19"/>
        <v>0</v>
      </c>
      <c r="AG24" s="298">
        <f t="shared" si="19"/>
        <v>1417</v>
      </c>
      <c r="AH24" s="299">
        <f t="shared" si="6"/>
        <v>71.089928508716909</v>
      </c>
    </row>
    <row r="25" spans="1:36" x14ac:dyDescent="0.2">
      <c r="A25" s="507"/>
      <c r="B25" s="510"/>
      <c r="C25" s="510"/>
      <c r="D25" s="300" t="s">
        <v>834</v>
      </c>
      <c r="E25" s="291">
        <v>1667.25</v>
      </c>
      <c r="F25" s="306">
        <v>6669</v>
      </c>
      <c r="G25" s="291">
        <v>909</v>
      </c>
      <c r="H25" s="291">
        <v>183</v>
      </c>
      <c r="I25" s="291">
        <v>0</v>
      </c>
      <c r="J25" s="291">
        <v>1</v>
      </c>
      <c r="K25" s="291">
        <v>0</v>
      </c>
      <c r="L25" s="291">
        <v>0</v>
      </c>
      <c r="M25" s="291">
        <v>0</v>
      </c>
      <c r="N25" s="293">
        <f t="shared" si="15"/>
        <v>1093</v>
      </c>
      <c r="O25" s="294">
        <f t="shared" si="2"/>
        <v>65.557055030739235</v>
      </c>
      <c r="P25" s="295">
        <f t="shared" si="16"/>
        <v>574.25</v>
      </c>
      <c r="Q25" s="291">
        <v>0</v>
      </c>
      <c r="R25" s="291">
        <v>0</v>
      </c>
      <c r="S25" s="291">
        <v>0</v>
      </c>
      <c r="T25" s="291">
        <v>0</v>
      </c>
      <c r="U25" s="291">
        <v>0</v>
      </c>
      <c r="V25" s="291">
        <v>0</v>
      </c>
      <c r="W25" s="291">
        <v>0</v>
      </c>
      <c r="X25" s="293">
        <f t="shared" si="17"/>
        <v>0</v>
      </c>
      <c r="Y25" s="293">
        <f t="shared" si="18"/>
        <v>0</v>
      </c>
      <c r="Z25" s="296">
        <f t="shared" si="19"/>
        <v>909</v>
      </c>
      <c r="AA25" s="297">
        <f t="shared" si="19"/>
        <v>183</v>
      </c>
      <c r="AB25" s="298">
        <f t="shared" si="19"/>
        <v>0</v>
      </c>
      <c r="AC25" s="298">
        <f t="shared" si="19"/>
        <v>1</v>
      </c>
      <c r="AD25" s="298">
        <f t="shared" si="19"/>
        <v>0</v>
      </c>
      <c r="AE25" s="298">
        <f t="shared" si="19"/>
        <v>0</v>
      </c>
      <c r="AF25" s="298">
        <f t="shared" si="19"/>
        <v>0</v>
      </c>
      <c r="AG25" s="298">
        <f t="shared" si="19"/>
        <v>1093</v>
      </c>
      <c r="AH25" s="299">
        <f t="shared" si="6"/>
        <v>65.557055030739235</v>
      </c>
    </row>
    <row r="26" spans="1:36" x14ac:dyDescent="0.2">
      <c r="A26" s="507"/>
      <c r="B26" s="510"/>
      <c r="C26" s="510"/>
      <c r="D26" s="300" t="s">
        <v>835</v>
      </c>
      <c r="E26" s="291">
        <v>1148.5</v>
      </c>
      <c r="F26" s="306">
        <v>4594</v>
      </c>
      <c r="G26" s="291">
        <v>768</v>
      </c>
      <c r="H26" s="291">
        <v>0</v>
      </c>
      <c r="I26" s="291">
        <v>0</v>
      </c>
      <c r="J26" s="291">
        <v>0</v>
      </c>
      <c r="K26" s="291">
        <v>0</v>
      </c>
      <c r="L26" s="291">
        <v>0</v>
      </c>
      <c r="M26" s="291">
        <v>0</v>
      </c>
      <c r="N26" s="293">
        <f t="shared" si="15"/>
        <v>768</v>
      </c>
      <c r="O26" s="294">
        <f t="shared" si="2"/>
        <v>66.86983021332172</v>
      </c>
      <c r="P26" s="295">
        <f t="shared" si="16"/>
        <v>380.5</v>
      </c>
      <c r="Q26" s="291">
        <v>0</v>
      </c>
      <c r="R26" s="291">
        <v>0</v>
      </c>
      <c r="S26" s="291">
        <v>0</v>
      </c>
      <c r="T26" s="291">
        <v>0</v>
      </c>
      <c r="U26" s="291">
        <v>0</v>
      </c>
      <c r="V26" s="291">
        <v>0</v>
      </c>
      <c r="W26" s="291">
        <v>0</v>
      </c>
      <c r="X26" s="293">
        <f t="shared" si="17"/>
        <v>0</v>
      </c>
      <c r="Y26" s="293">
        <f t="shared" si="18"/>
        <v>0</v>
      </c>
      <c r="Z26" s="296">
        <f t="shared" si="19"/>
        <v>768</v>
      </c>
      <c r="AA26" s="297">
        <f t="shared" si="19"/>
        <v>0</v>
      </c>
      <c r="AB26" s="298">
        <f t="shared" si="19"/>
        <v>0</v>
      </c>
      <c r="AC26" s="298">
        <f t="shared" si="19"/>
        <v>0</v>
      </c>
      <c r="AD26" s="298">
        <f t="shared" si="19"/>
        <v>0</v>
      </c>
      <c r="AE26" s="298">
        <f t="shared" si="19"/>
        <v>0</v>
      </c>
      <c r="AF26" s="298">
        <f t="shared" si="19"/>
        <v>0</v>
      </c>
      <c r="AG26" s="298">
        <f t="shared" si="19"/>
        <v>768</v>
      </c>
      <c r="AH26" s="299">
        <f t="shared" si="6"/>
        <v>66.86983021332172</v>
      </c>
    </row>
    <row r="27" spans="1:36" x14ac:dyDescent="0.2">
      <c r="A27" s="507"/>
      <c r="B27" s="510"/>
      <c r="C27" s="510"/>
      <c r="D27" s="300" t="s">
        <v>836</v>
      </c>
      <c r="E27" s="291">
        <v>1679.25</v>
      </c>
      <c r="F27" s="306">
        <v>6717</v>
      </c>
      <c r="G27" s="291">
        <v>873</v>
      </c>
      <c r="H27" s="291">
        <v>216</v>
      </c>
      <c r="I27" s="291">
        <v>0</v>
      </c>
      <c r="J27" s="291">
        <v>1</v>
      </c>
      <c r="K27" s="291">
        <v>0</v>
      </c>
      <c r="L27" s="291">
        <v>0</v>
      </c>
      <c r="M27" s="291">
        <v>0</v>
      </c>
      <c r="N27" s="293">
        <f t="shared" si="15"/>
        <v>1090</v>
      </c>
      <c r="O27" s="294">
        <f t="shared" si="2"/>
        <v>64.909930028286439</v>
      </c>
      <c r="P27" s="295">
        <f t="shared" si="16"/>
        <v>589.25</v>
      </c>
      <c r="Q27" s="291">
        <v>0</v>
      </c>
      <c r="R27" s="291">
        <v>0</v>
      </c>
      <c r="S27" s="291">
        <v>0</v>
      </c>
      <c r="T27" s="291">
        <v>0</v>
      </c>
      <c r="U27" s="291">
        <v>0</v>
      </c>
      <c r="V27" s="291">
        <v>0</v>
      </c>
      <c r="W27" s="291">
        <v>0</v>
      </c>
      <c r="X27" s="293">
        <f t="shared" si="17"/>
        <v>0</v>
      </c>
      <c r="Y27" s="293">
        <f t="shared" si="18"/>
        <v>0</v>
      </c>
      <c r="Z27" s="296">
        <f t="shared" si="19"/>
        <v>873</v>
      </c>
      <c r="AA27" s="297">
        <f t="shared" si="19"/>
        <v>216</v>
      </c>
      <c r="AB27" s="298">
        <f t="shared" si="19"/>
        <v>0</v>
      </c>
      <c r="AC27" s="298">
        <f t="shared" si="19"/>
        <v>1</v>
      </c>
      <c r="AD27" s="298">
        <f t="shared" si="19"/>
        <v>0</v>
      </c>
      <c r="AE27" s="298">
        <f t="shared" si="19"/>
        <v>0</v>
      </c>
      <c r="AF27" s="298">
        <f t="shared" si="19"/>
        <v>0</v>
      </c>
      <c r="AG27" s="298">
        <f t="shared" si="19"/>
        <v>1090</v>
      </c>
      <c r="AH27" s="299">
        <f t="shared" si="6"/>
        <v>64.909930028286439</v>
      </c>
    </row>
    <row r="28" spans="1:36" x14ac:dyDescent="0.2">
      <c r="A28" s="507"/>
      <c r="B28" s="510"/>
      <c r="C28" s="510"/>
      <c r="D28" s="300" t="s">
        <v>837</v>
      </c>
      <c r="E28" s="291">
        <v>835.25</v>
      </c>
      <c r="F28" s="306">
        <v>3341</v>
      </c>
      <c r="G28" s="291">
        <v>401</v>
      </c>
      <c r="H28" s="291">
        <v>0</v>
      </c>
      <c r="I28" s="291">
        <v>0</v>
      </c>
      <c r="J28" s="291">
        <v>30</v>
      </c>
      <c r="K28" s="291">
        <v>10</v>
      </c>
      <c r="L28" s="291">
        <v>0</v>
      </c>
      <c r="M28" s="291">
        <v>0</v>
      </c>
      <c r="N28" s="293">
        <f t="shared" si="15"/>
        <v>441</v>
      </c>
      <c r="O28" s="294">
        <f t="shared" si="2"/>
        <v>52.798563304399885</v>
      </c>
      <c r="P28" s="295">
        <f t="shared" si="16"/>
        <v>394.25</v>
      </c>
      <c r="Q28" s="291">
        <v>0</v>
      </c>
      <c r="R28" s="291">
        <v>0</v>
      </c>
      <c r="S28" s="291">
        <v>0</v>
      </c>
      <c r="T28" s="291">
        <v>0</v>
      </c>
      <c r="U28" s="291">
        <v>0</v>
      </c>
      <c r="V28" s="291">
        <v>0</v>
      </c>
      <c r="W28" s="291">
        <v>0</v>
      </c>
      <c r="X28" s="293">
        <f t="shared" si="17"/>
        <v>0</v>
      </c>
      <c r="Y28" s="293">
        <f t="shared" si="18"/>
        <v>0</v>
      </c>
      <c r="Z28" s="296">
        <f t="shared" si="19"/>
        <v>401</v>
      </c>
      <c r="AA28" s="297">
        <f t="shared" si="19"/>
        <v>0</v>
      </c>
      <c r="AB28" s="298">
        <f t="shared" si="19"/>
        <v>0</v>
      </c>
      <c r="AC28" s="298">
        <f t="shared" si="19"/>
        <v>30</v>
      </c>
      <c r="AD28" s="298">
        <f t="shared" si="19"/>
        <v>10</v>
      </c>
      <c r="AE28" s="298">
        <f t="shared" si="19"/>
        <v>0</v>
      </c>
      <c r="AF28" s="298">
        <f t="shared" si="19"/>
        <v>0</v>
      </c>
      <c r="AG28" s="298">
        <f t="shared" si="19"/>
        <v>441</v>
      </c>
      <c r="AH28" s="299">
        <f t="shared" si="6"/>
        <v>52.798563304399885</v>
      </c>
    </row>
    <row r="29" spans="1:36" x14ac:dyDescent="0.2">
      <c r="A29" s="507"/>
      <c r="B29" s="510"/>
      <c r="C29" s="510"/>
      <c r="D29" s="300" t="s">
        <v>838</v>
      </c>
      <c r="E29" s="291">
        <v>408</v>
      </c>
      <c r="F29" s="306">
        <v>1632</v>
      </c>
      <c r="G29" s="291">
        <f>63*3</f>
        <v>189</v>
      </c>
      <c r="H29" s="291">
        <v>0</v>
      </c>
      <c r="I29" s="291">
        <v>0</v>
      </c>
      <c r="J29" s="291">
        <v>20</v>
      </c>
      <c r="K29" s="291">
        <v>0</v>
      </c>
      <c r="L29" s="291">
        <v>0</v>
      </c>
      <c r="M29" s="291">
        <v>0</v>
      </c>
      <c r="N29" s="293">
        <f t="shared" si="15"/>
        <v>209</v>
      </c>
      <c r="O29" s="294">
        <f t="shared" si="2"/>
        <v>51.225490196078425</v>
      </c>
      <c r="P29" s="295">
        <f t="shared" si="16"/>
        <v>199</v>
      </c>
      <c r="Q29" s="291">
        <v>0</v>
      </c>
      <c r="R29" s="291">
        <v>0</v>
      </c>
      <c r="S29" s="291">
        <v>0</v>
      </c>
      <c r="T29" s="291">
        <v>0</v>
      </c>
      <c r="U29" s="291">
        <v>0</v>
      </c>
      <c r="V29" s="291">
        <v>0</v>
      </c>
      <c r="W29" s="291">
        <v>0</v>
      </c>
      <c r="X29" s="293">
        <f t="shared" si="17"/>
        <v>0</v>
      </c>
      <c r="Y29" s="293">
        <f t="shared" si="18"/>
        <v>0</v>
      </c>
      <c r="Z29" s="296">
        <f t="shared" si="19"/>
        <v>189</v>
      </c>
      <c r="AA29" s="297">
        <f t="shared" si="19"/>
        <v>0</v>
      </c>
      <c r="AB29" s="298">
        <f t="shared" si="19"/>
        <v>0</v>
      </c>
      <c r="AC29" s="298">
        <f t="shared" si="19"/>
        <v>20</v>
      </c>
      <c r="AD29" s="298">
        <f t="shared" si="19"/>
        <v>0</v>
      </c>
      <c r="AE29" s="298">
        <f t="shared" si="19"/>
        <v>0</v>
      </c>
      <c r="AF29" s="298">
        <f t="shared" si="19"/>
        <v>0</v>
      </c>
      <c r="AG29" s="298">
        <f t="shared" si="19"/>
        <v>209</v>
      </c>
      <c r="AH29" s="299">
        <f t="shared" si="6"/>
        <v>51.225490196078425</v>
      </c>
    </row>
    <row r="30" spans="1:36" x14ac:dyDescent="0.2">
      <c r="A30" s="507"/>
      <c r="B30" s="510"/>
      <c r="C30" s="510"/>
      <c r="D30" s="300" t="s">
        <v>839</v>
      </c>
      <c r="E30" s="291">
        <v>1139.25</v>
      </c>
      <c r="F30" s="306">
        <v>4557</v>
      </c>
      <c r="G30" s="291">
        <f>146*2</f>
        <v>292</v>
      </c>
      <c r="H30" s="291">
        <v>0</v>
      </c>
      <c r="I30" s="291">
        <v>0</v>
      </c>
      <c r="J30" s="291">
        <v>190</v>
      </c>
      <c r="K30" s="291">
        <v>0</v>
      </c>
      <c r="L30" s="291">
        <v>0</v>
      </c>
      <c r="M30" s="291">
        <v>0</v>
      </c>
      <c r="N30" s="293">
        <f t="shared" si="15"/>
        <v>482</v>
      </c>
      <c r="O30" s="294">
        <f t="shared" si="2"/>
        <v>42.30853631775291</v>
      </c>
      <c r="P30" s="295">
        <f t="shared" si="16"/>
        <v>657.25</v>
      </c>
      <c r="Q30" s="291">
        <v>0</v>
      </c>
      <c r="R30" s="291">
        <v>0</v>
      </c>
      <c r="S30" s="291">
        <v>0</v>
      </c>
      <c r="T30" s="291">
        <v>0</v>
      </c>
      <c r="U30" s="291">
        <v>0</v>
      </c>
      <c r="V30" s="291">
        <v>0</v>
      </c>
      <c r="W30" s="291">
        <v>0</v>
      </c>
      <c r="X30" s="293">
        <f t="shared" si="17"/>
        <v>0</v>
      </c>
      <c r="Y30" s="293">
        <f t="shared" si="18"/>
        <v>0</v>
      </c>
      <c r="Z30" s="296">
        <f t="shared" si="19"/>
        <v>292</v>
      </c>
      <c r="AA30" s="297">
        <f t="shared" si="19"/>
        <v>0</v>
      </c>
      <c r="AB30" s="298">
        <f t="shared" si="19"/>
        <v>0</v>
      </c>
      <c r="AC30" s="298">
        <f t="shared" si="19"/>
        <v>190</v>
      </c>
      <c r="AD30" s="298">
        <f t="shared" si="19"/>
        <v>0</v>
      </c>
      <c r="AE30" s="298">
        <f t="shared" si="19"/>
        <v>0</v>
      </c>
      <c r="AF30" s="298">
        <f t="shared" si="19"/>
        <v>0</v>
      </c>
      <c r="AG30" s="298">
        <f t="shared" si="19"/>
        <v>482</v>
      </c>
      <c r="AH30" s="299">
        <f t="shared" si="6"/>
        <v>42.30853631775291</v>
      </c>
    </row>
    <row r="31" spans="1:36" x14ac:dyDescent="0.2">
      <c r="A31" s="507"/>
      <c r="B31" s="510"/>
      <c r="C31" s="512"/>
      <c r="D31" s="302" t="s">
        <v>825</v>
      </c>
      <c r="E31" s="303">
        <f>SUM(E24:E30)</f>
        <v>8870.75</v>
      </c>
      <c r="F31" s="303">
        <f>SUM(F24:F30)</f>
        <v>35483</v>
      </c>
      <c r="G31" s="303">
        <f t="shared" ref="G31:AG31" si="20">SUM(G24:G30)</f>
        <v>4130</v>
      </c>
      <c r="H31" s="303">
        <f t="shared" si="20"/>
        <v>1116</v>
      </c>
      <c r="I31" s="303">
        <f t="shared" si="20"/>
        <v>0</v>
      </c>
      <c r="J31" s="303">
        <f t="shared" si="20"/>
        <v>244</v>
      </c>
      <c r="K31" s="303">
        <f t="shared" si="20"/>
        <v>10</v>
      </c>
      <c r="L31" s="303">
        <f t="shared" si="20"/>
        <v>0</v>
      </c>
      <c r="M31" s="303">
        <f t="shared" si="20"/>
        <v>0</v>
      </c>
      <c r="N31" s="303">
        <f t="shared" si="20"/>
        <v>5500</v>
      </c>
      <c r="O31" s="304">
        <f t="shared" si="2"/>
        <v>62.00152185553646</v>
      </c>
      <c r="P31" s="303">
        <f t="shared" si="20"/>
        <v>3370.75</v>
      </c>
      <c r="Q31" s="303">
        <f t="shared" si="20"/>
        <v>0</v>
      </c>
      <c r="R31" s="303">
        <f t="shared" si="20"/>
        <v>0</v>
      </c>
      <c r="S31" s="303">
        <f t="shared" si="20"/>
        <v>0</v>
      </c>
      <c r="T31" s="303">
        <f t="shared" si="20"/>
        <v>0</v>
      </c>
      <c r="U31" s="303">
        <f t="shared" si="20"/>
        <v>0</v>
      </c>
      <c r="V31" s="303">
        <f t="shared" si="20"/>
        <v>0</v>
      </c>
      <c r="W31" s="303">
        <f t="shared" si="20"/>
        <v>0</v>
      </c>
      <c r="X31" s="303">
        <f t="shared" si="20"/>
        <v>0</v>
      </c>
      <c r="Y31" s="303">
        <f t="shared" si="20"/>
        <v>0</v>
      </c>
      <c r="Z31" s="303">
        <f t="shared" si="20"/>
        <v>4130</v>
      </c>
      <c r="AA31" s="303">
        <f t="shared" si="20"/>
        <v>1116</v>
      </c>
      <c r="AB31" s="303">
        <f t="shared" si="20"/>
        <v>0</v>
      </c>
      <c r="AC31" s="303">
        <f t="shared" si="20"/>
        <v>244</v>
      </c>
      <c r="AD31" s="303">
        <f t="shared" si="20"/>
        <v>10</v>
      </c>
      <c r="AE31" s="303">
        <f t="shared" si="20"/>
        <v>0</v>
      </c>
      <c r="AF31" s="303">
        <f t="shared" si="20"/>
        <v>0</v>
      </c>
      <c r="AG31" s="303">
        <f t="shared" si="20"/>
        <v>5500</v>
      </c>
      <c r="AH31" s="305">
        <f t="shared" si="6"/>
        <v>62.00152185553646</v>
      </c>
      <c r="AJ31" s="267">
        <v>61.54</v>
      </c>
    </row>
    <row r="32" spans="1:36" x14ac:dyDescent="0.2">
      <c r="A32" s="507"/>
      <c r="B32" s="510"/>
      <c r="C32" s="509" t="s">
        <v>840</v>
      </c>
      <c r="D32" s="314" t="s">
        <v>840</v>
      </c>
      <c r="E32" s="291">
        <v>1409</v>
      </c>
      <c r="F32" s="306">
        <v>5636</v>
      </c>
      <c r="G32" s="293">
        <v>590</v>
      </c>
      <c r="H32" s="293">
        <v>0</v>
      </c>
      <c r="I32" s="293">
        <v>0</v>
      </c>
      <c r="J32" s="293">
        <v>100</v>
      </c>
      <c r="K32" s="293">
        <v>10</v>
      </c>
      <c r="L32" s="293">
        <v>20</v>
      </c>
      <c r="M32" s="293">
        <v>0</v>
      </c>
      <c r="N32" s="293">
        <f t="shared" ref="N32:N35" si="21">SUM(G32:M32)</f>
        <v>720</v>
      </c>
      <c r="O32" s="294">
        <f t="shared" si="2"/>
        <v>51.1000709723208</v>
      </c>
      <c r="P32" s="295">
        <f t="shared" ref="P32:P35" si="22">E32-N32</f>
        <v>689</v>
      </c>
      <c r="Q32" s="293">
        <v>0</v>
      </c>
      <c r="R32" s="293">
        <v>0</v>
      </c>
      <c r="S32" s="293">
        <v>0</v>
      </c>
      <c r="T32" s="293">
        <v>0</v>
      </c>
      <c r="U32" s="293">
        <v>0</v>
      </c>
      <c r="V32" s="293">
        <v>0</v>
      </c>
      <c r="W32" s="293">
        <v>0</v>
      </c>
      <c r="X32" s="293">
        <f t="shared" ref="X32:X35" si="23">Q32+R32+S32+T32+U32+V32+W32</f>
        <v>0</v>
      </c>
      <c r="Y32" s="293">
        <f t="shared" ref="Y32:Y35" si="24">X32/E32*100</f>
        <v>0</v>
      </c>
      <c r="Z32" s="296">
        <f t="shared" ref="Z32:AG35" si="25">G32+Q32</f>
        <v>590</v>
      </c>
      <c r="AA32" s="297">
        <f t="shared" si="25"/>
        <v>0</v>
      </c>
      <c r="AB32" s="298">
        <f t="shared" si="25"/>
        <v>0</v>
      </c>
      <c r="AC32" s="298">
        <f t="shared" si="25"/>
        <v>100</v>
      </c>
      <c r="AD32" s="298">
        <f t="shared" si="25"/>
        <v>10</v>
      </c>
      <c r="AE32" s="298">
        <f t="shared" si="25"/>
        <v>20</v>
      </c>
      <c r="AF32" s="298">
        <f t="shared" si="25"/>
        <v>0</v>
      </c>
      <c r="AG32" s="298">
        <f t="shared" si="25"/>
        <v>720</v>
      </c>
      <c r="AH32" s="299">
        <f t="shared" si="6"/>
        <v>51.1000709723208</v>
      </c>
    </row>
    <row r="33" spans="1:36" x14ac:dyDescent="0.2">
      <c r="A33" s="507"/>
      <c r="B33" s="510"/>
      <c r="C33" s="510"/>
      <c r="D33" s="314" t="s">
        <v>841</v>
      </c>
      <c r="E33" s="291">
        <v>897</v>
      </c>
      <c r="F33" s="306">
        <v>3588</v>
      </c>
      <c r="G33" s="293">
        <v>339</v>
      </c>
      <c r="H33" s="293">
        <v>0</v>
      </c>
      <c r="I33" s="293">
        <v>0</v>
      </c>
      <c r="J33" s="293">
        <v>25</v>
      </c>
      <c r="K33" s="293">
        <v>0</v>
      </c>
      <c r="L33" s="293">
        <v>33</v>
      </c>
      <c r="M33" s="293">
        <v>0</v>
      </c>
      <c r="N33" s="293">
        <f t="shared" si="21"/>
        <v>397</v>
      </c>
      <c r="O33" s="294">
        <f t="shared" si="2"/>
        <v>44.258639910813827</v>
      </c>
      <c r="P33" s="295">
        <f t="shared" si="22"/>
        <v>500</v>
      </c>
      <c r="Q33" s="293">
        <v>0</v>
      </c>
      <c r="R33" s="293">
        <v>0</v>
      </c>
      <c r="S33" s="293">
        <v>0</v>
      </c>
      <c r="T33" s="293">
        <v>0</v>
      </c>
      <c r="U33" s="293">
        <v>0</v>
      </c>
      <c r="V33" s="293">
        <v>0</v>
      </c>
      <c r="W33" s="293">
        <v>0</v>
      </c>
      <c r="X33" s="293">
        <v>0</v>
      </c>
      <c r="Y33" s="293">
        <f t="shared" si="24"/>
        <v>0</v>
      </c>
      <c r="Z33" s="296">
        <f t="shared" si="25"/>
        <v>339</v>
      </c>
      <c r="AA33" s="297">
        <f t="shared" si="25"/>
        <v>0</v>
      </c>
      <c r="AB33" s="298">
        <f t="shared" si="25"/>
        <v>0</v>
      </c>
      <c r="AC33" s="298">
        <f t="shared" si="25"/>
        <v>25</v>
      </c>
      <c r="AD33" s="298">
        <f t="shared" si="25"/>
        <v>0</v>
      </c>
      <c r="AE33" s="298">
        <f t="shared" si="25"/>
        <v>33</v>
      </c>
      <c r="AF33" s="298">
        <f t="shared" si="25"/>
        <v>0</v>
      </c>
      <c r="AG33" s="298">
        <f t="shared" si="25"/>
        <v>397</v>
      </c>
      <c r="AH33" s="299">
        <f t="shared" si="6"/>
        <v>44.258639910813827</v>
      </c>
    </row>
    <row r="34" spans="1:36" x14ac:dyDescent="0.2">
      <c r="A34" s="507"/>
      <c r="B34" s="510"/>
      <c r="C34" s="510"/>
      <c r="D34" s="314" t="s">
        <v>842</v>
      </c>
      <c r="E34" s="291">
        <v>1268</v>
      </c>
      <c r="F34" s="306">
        <v>5072</v>
      </c>
      <c r="G34" s="293">
        <v>434</v>
      </c>
      <c r="H34" s="293">
        <v>0</v>
      </c>
      <c r="I34" s="293">
        <v>0</v>
      </c>
      <c r="J34" s="293">
        <v>50</v>
      </c>
      <c r="K34" s="293">
        <v>66</v>
      </c>
      <c r="L34" s="293">
        <v>3</v>
      </c>
      <c r="M34" s="293">
        <v>0</v>
      </c>
      <c r="N34" s="293">
        <f t="shared" si="21"/>
        <v>553</v>
      </c>
      <c r="O34" s="294">
        <f t="shared" si="2"/>
        <v>43.611987381703472</v>
      </c>
      <c r="P34" s="295">
        <f t="shared" si="22"/>
        <v>715</v>
      </c>
      <c r="Q34" s="293">
        <v>0</v>
      </c>
      <c r="R34" s="293">
        <v>0</v>
      </c>
      <c r="S34" s="293">
        <v>0</v>
      </c>
      <c r="T34" s="293">
        <v>0</v>
      </c>
      <c r="U34" s="293">
        <v>0</v>
      </c>
      <c r="V34" s="293">
        <v>0</v>
      </c>
      <c r="W34" s="293">
        <v>0</v>
      </c>
      <c r="X34" s="293">
        <f t="shared" si="23"/>
        <v>0</v>
      </c>
      <c r="Y34" s="293">
        <f t="shared" si="24"/>
        <v>0</v>
      </c>
      <c r="Z34" s="296">
        <f t="shared" si="25"/>
        <v>434</v>
      </c>
      <c r="AA34" s="297">
        <f t="shared" si="25"/>
        <v>0</v>
      </c>
      <c r="AB34" s="298">
        <f t="shared" si="25"/>
        <v>0</v>
      </c>
      <c r="AC34" s="298">
        <f t="shared" si="25"/>
        <v>50</v>
      </c>
      <c r="AD34" s="298">
        <f t="shared" si="25"/>
        <v>66</v>
      </c>
      <c r="AE34" s="298">
        <f t="shared" si="25"/>
        <v>3</v>
      </c>
      <c r="AF34" s="298">
        <f t="shared" si="25"/>
        <v>0</v>
      </c>
      <c r="AG34" s="298">
        <f t="shared" si="25"/>
        <v>553</v>
      </c>
      <c r="AH34" s="299">
        <f t="shared" si="6"/>
        <v>43.611987381703472</v>
      </c>
    </row>
    <row r="35" spans="1:36" x14ac:dyDescent="0.2">
      <c r="A35" s="507"/>
      <c r="B35" s="510"/>
      <c r="C35" s="510"/>
      <c r="D35" s="314" t="s">
        <v>843</v>
      </c>
      <c r="E35" s="291">
        <v>1423.25</v>
      </c>
      <c r="F35" s="306">
        <v>5693</v>
      </c>
      <c r="G35" s="293">
        <v>801</v>
      </c>
      <c r="H35" s="293">
        <v>0</v>
      </c>
      <c r="I35" s="293">
        <v>0</v>
      </c>
      <c r="J35" s="293">
        <v>20</v>
      </c>
      <c r="K35" s="293">
        <v>0</v>
      </c>
      <c r="L35" s="293">
        <v>10</v>
      </c>
      <c r="M35" s="293">
        <v>0</v>
      </c>
      <c r="N35" s="293">
        <f t="shared" si="21"/>
        <v>831</v>
      </c>
      <c r="O35" s="294">
        <f t="shared" si="2"/>
        <v>58.387493412963288</v>
      </c>
      <c r="P35" s="295">
        <f t="shared" si="22"/>
        <v>592.25</v>
      </c>
      <c r="Q35" s="293">
        <v>0</v>
      </c>
      <c r="R35" s="293">
        <v>0</v>
      </c>
      <c r="S35" s="293">
        <v>0</v>
      </c>
      <c r="T35" s="293">
        <v>0</v>
      </c>
      <c r="U35" s="293">
        <v>0</v>
      </c>
      <c r="V35" s="293">
        <v>0</v>
      </c>
      <c r="W35" s="293">
        <v>0</v>
      </c>
      <c r="X35" s="293">
        <f t="shared" si="23"/>
        <v>0</v>
      </c>
      <c r="Y35" s="293">
        <f t="shared" si="24"/>
        <v>0</v>
      </c>
      <c r="Z35" s="296">
        <f t="shared" si="25"/>
        <v>801</v>
      </c>
      <c r="AA35" s="297">
        <f t="shared" si="25"/>
        <v>0</v>
      </c>
      <c r="AB35" s="298">
        <f t="shared" si="25"/>
        <v>0</v>
      </c>
      <c r="AC35" s="298">
        <f t="shared" si="25"/>
        <v>20</v>
      </c>
      <c r="AD35" s="298">
        <f t="shared" si="25"/>
        <v>0</v>
      </c>
      <c r="AE35" s="298">
        <f t="shared" si="25"/>
        <v>10</v>
      </c>
      <c r="AF35" s="298">
        <f t="shared" si="25"/>
        <v>0</v>
      </c>
      <c r="AG35" s="298">
        <f t="shared" si="25"/>
        <v>831</v>
      </c>
      <c r="AH35" s="299">
        <f t="shared" si="6"/>
        <v>58.387493412963288</v>
      </c>
    </row>
    <row r="36" spans="1:36" x14ac:dyDescent="0.2">
      <c r="A36" s="516"/>
      <c r="B36" s="512"/>
      <c r="C36" s="512"/>
      <c r="D36" s="302" t="s">
        <v>825</v>
      </c>
      <c r="E36" s="303">
        <f>SUM(E32:E35)</f>
        <v>4997.25</v>
      </c>
      <c r="F36" s="303">
        <f>SUM(F32:F35)</f>
        <v>19989</v>
      </c>
      <c r="G36" s="303">
        <f t="shared" ref="G36:AG36" si="26">SUM(G32:G35)</f>
        <v>2164</v>
      </c>
      <c r="H36" s="303">
        <f t="shared" si="26"/>
        <v>0</v>
      </c>
      <c r="I36" s="303">
        <f t="shared" si="26"/>
        <v>0</v>
      </c>
      <c r="J36" s="303">
        <f t="shared" si="26"/>
        <v>195</v>
      </c>
      <c r="K36" s="303">
        <f t="shared" si="26"/>
        <v>76</v>
      </c>
      <c r="L36" s="303">
        <f t="shared" si="26"/>
        <v>66</v>
      </c>
      <c r="M36" s="303">
        <f t="shared" si="26"/>
        <v>0</v>
      </c>
      <c r="N36" s="303">
        <f t="shared" si="26"/>
        <v>2501</v>
      </c>
      <c r="O36" s="304">
        <f t="shared" si="2"/>
        <v>50.04752613937665</v>
      </c>
      <c r="P36" s="303">
        <f t="shared" si="26"/>
        <v>2496.25</v>
      </c>
      <c r="Q36" s="303">
        <f t="shared" si="26"/>
        <v>0</v>
      </c>
      <c r="R36" s="303">
        <f t="shared" si="26"/>
        <v>0</v>
      </c>
      <c r="S36" s="303">
        <f t="shared" si="26"/>
        <v>0</v>
      </c>
      <c r="T36" s="303">
        <f t="shared" si="26"/>
        <v>0</v>
      </c>
      <c r="U36" s="303">
        <f t="shared" si="26"/>
        <v>0</v>
      </c>
      <c r="V36" s="303">
        <f t="shared" si="26"/>
        <v>0</v>
      </c>
      <c r="W36" s="303">
        <f t="shared" si="26"/>
        <v>0</v>
      </c>
      <c r="X36" s="303">
        <f t="shared" si="26"/>
        <v>0</v>
      </c>
      <c r="Y36" s="303">
        <f t="shared" si="26"/>
        <v>0</v>
      </c>
      <c r="Z36" s="303">
        <f t="shared" si="26"/>
        <v>2164</v>
      </c>
      <c r="AA36" s="303">
        <f t="shared" si="26"/>
        <v>0</v>
      </c>
      <c r="AB36" s="303">
        <f t="shared" si="26"/>
        <v>0</v>
      </c>
      <c r="AC36" s="303">
        <f t="shared" si="26"/>
        <v>195</v>
      </c>
      <c r="AD36" s="303">
        <f t="shared" si="26"/>
        <v>76</v>
      </c>
      <c r="AE36" s="303">
        <f t="shared" si="26"/>
        <v>66</v>
      </c>
      <c r="AF36" s="303">
        <f t="shared" si="26"/>
        <v>0</v>
      </c>
      <c r="AG36" s="303">
        <f t="shared" si="26"/>
        <v>2501</v>
      </c>
      <c r="AH36" s="305">
        <f t="shared" si="6"/>
        <v>50.04752613937665</v>
      </c>
      <c r="AJ36" s="267">
        <v>48.16</v>
      </c>
    </row>
    <row r="37" spans="1:36" x14ac:dyDescent="0.2">
      <c r="A37" s="517">
        <v>3</v>
      </c>
      <c r="B37" s="509" t="s">
        <v>844</v>
      </c>
      <c r="C37" s="509" t="s">
        <v>845</v>
      </c>
      <c r="D37" s="300" t="s">
        <v>845</v>
      </c>
      <c r="E37" s="291">
        <v>2792.25</v>
      </c>
      <c r="F37" s="306">
        <v>11169</v>
      </c>
      <c r="G37" s="293">
        <v>884</v>
      </c>
      <c r="H37" s="293">
        <v>1182</v>
      </c>
      <c r="I37" s="293">
        <v>0</v>
      </c>
      <c r="J37" s="293">
        <v>19</v>
      </c>
      <c r="K37" s="293">
        <v>0</v>
      </c>
      <c r="L37" s="293">
        <v>0</v>
      </c>
      <c r="M37" s="293">
        <v>0</v>
      </c>
      <c r="N37" s="293">
        <f t="shared" ref="N37:N42" si="27">SUM(G37:M37)</f>
        <v>2085</v>
      </c>
      <c r="O37" s="294">
        <f t="shared" si="2"/>
        <v>74.67096427612141</v>
      </c>
      <c r="P37" s="295">
        <f t="shared" ref="P37:P42" si="28">E37-N37</f>
        <v>707.25</v>
      </c>
      <c r="Q37" s="293">
        <v>0</v>
      </c>
      <c r="R37" s="293">
        <v>0</v>
      </c>
      <c r="S37" s="293">
        <v>0</v>
      </c>
      <c r="T37" s="293">
        <v>2</v>
      </c>
      <c r="U37" s="293">
        <v>0</v>
      </c>
      <c r="V37" s="293">
        <v>0</v>
      </c>
      <c r="W37" s="293">
        <v>0</v>
      </c>
      <c r="X37" s="293">
        <f t="shared" ref="X37:X42" si="29">Q37+R37+S37+T37+U37+V37+W37</f>
        <v>2</v>
      </c>
      <c r="Y37" s="293">
        <f t="shared" ref="Y37:Y42" si="30">X37/E37*100</f>
        <v>7.1626824245679996E-2</v>
      </c>
      <c r="Z37" s="296">
        <f t="shared" ref="Z37:AG42" si="31">G37+Q37</f>
        <v>884</v>
      </c>
      <c r="AA37" s="297">
        <f t="shared" si="31"/>
        <v>1182</v>
      </c>
      <c r="AB37" s="298">
        <f t="shared" si="31"/>
        <v>0</v>
      </c>
      <c r="AC37" s="298">
        <f t="shared" si="31"/>
        <v>21</v>
      </c>
      <c r="AD37" s="298">
        <f t="shared" si="31"/>
        <v>0</v>
      </c>
      <c r="AE37" s="298">
        <f t="shared" si="31"/>
        <v>0</v>
      </c>
      <c r="AF37" s="298">
        <f t="shared" si="31"/>
        <v>0</v>
      </c>
      <c r="AG37" s="298">
        <f t="shared" si="31"/>
        <v>2087</v>
      </c>
      <c r="AH37" s="299">
        <f t="shared" si="6"/>
        <v>74.742591100367079</v>
      </c>
    </row>
    <row r="38" spans="1:36" x14ac:dyDescent="0.2">
      <c r="A38" s="507"/>
      <c r="B38" s="510"/>
      <c r="C38" s="510"/>
      <c r="D38" s="300" t="s">
        <v>846</v>
      </c>
      <c r="E38" s="291">
        <v>2417</v>
      </c>
      <c r="F38" s="306">
        <v>9668</v>
      </c>
      <c r="G38" s="293">
        <v>1202</v>
      </c>
      <c r="H38" s="293">
        <v>520</v>
      </c>
      <c r="I38" s="293">
        <v>0</v>
      </c>
      <c r="J38" s="293">
        <v>50</v>
      </c>
      <c r="K38" s="293">
        <v>0</v>
      </c>
      <c r="L38" s="293">
        <v>0</v>
      </c>
      <c r="M38" s="293">
        <v>0</v>
      </c>
      <c r="N38" s="293">
        <f t="shared" si="27"/>
        <v>1772</v>
      </c>
      <c r="O38" s="294">
        <f t="shared" si="2"/>
        <v>73.314025651634267</v>
      </c>
      <c r="P38" s="295">
        <f t="shared" si="28"/>
        <v>645</v>
      </c>
      <c r="Q38" s="293">
        <v>165</v>
      </c>
      <c r="R38" s="293">
        <v>0</v>
      </c>
      <c r="S38" s="293">
        <v>0</v>
      </c>
      <c r="T38" s="293">
        <v>0</v>
      </c>
      <c r="U38" s="293">
        <v>0</v>
      </c>
      <c r="V38" s="293">
        <v>0</v>
      </c>
      <c r="W38" s="293">
        <v>0</v>
      </c>
      <c r="X38" s="293">
        <f t="shared" si="29"/>
        <v>165</v>
      </c>
      <c r="Y38" s="293">
        <f t="shared" si="30"/>
        <v>6.826644600744725</v>
      </c>
      <c r="Z38" s="296">
        <f t="shared" si="31"/>
        <v>1367</v>
      </c>
      <c r="AA38" s="297">
        <f t="shared" si="31"/>
        <v>520</v>
      </c>
      <c r="AB38" s="298">
        <f t="shared" si="31"/>
        <v>0</v>
      </c>
      <c r="AC38" s="298">
        <f t="shared" si="31"/>
        <v>50</v>
      </c>
      <c r="AD38" s="298">
        <f t="shared" si="31"/>
        <v>0</v>
      </c>
      <c r="AE38" s="298">
        <f t="shared" si="31"/>
        <v>0</v>
      </c>
      <c r="AF38" s="298">
        <f t="shared" si="31"/>
        <v>0</v>
      </c>
      <c r="AG38" s="298">
        <f t="shared" si="31"/>
        <v>1937</v>
      </c>
      <c r="AH38" s="299">
        <f t="shared" si="6"/>
        <v>80.140670252378982</v>
      </c>
    </row>
    <row r="39" spans="1:36" x14ac:dyDescent="0.2">
      <c r="A39" s="507"/>
      <c r="B39" s="510"/>
      <c r="C39" s="510"/>
      <c r="D39" s="300" t="s">
        <v>847</v>
      </c>
      <c r="E39" s="291">
        <v>1094.5</v>
      </c>
      <c r="F39" s="306">
        <v>4378</v>
      </c>
      <c r="G39" s="293">
        <v>425</v>
      </c>
      <c r="H39" s="293">
        <v>498</v>
      </c>
      <c r="I39" s="293">
        <v>0</v>
      </c>
      <c r="J39" s="293">
        <v>25</v>
      </c>
      <c r="K39" s="293">
        <v>0</v>
      </c>
      <c r="L39" s="293">
        <v>3</v>
      </c>
      <c r="M39" s="293">
        <v>0</v>
      </c>
      <c r="N39" s="293">
        <f t="shared" si="27"/>
        <v>951</v>
      </c>
      <c r="O39" s="294">
        <f t="shared" si="2"/>
        <v>86.888990406578344</v>
      </c>
      <c r="P39" s="295">
        <f t="shared" si="28"/>
        <v>143.5</v>
      </c>
      <c r="Q39" s="293">
        <v>8</v>
      </c>
      <c r="R39" s="293">
        <v>0</v>
      </c>
      <c r="S39" s="293">
        <v>0</v>
      </c>
      <c r="T39" s="293">
        <v>0</v>
      </c>
      <c r="U39" s="293">
        <v>2</v>
      </c>
      <c r="V39" s="293">
        <v>2</v>
      </c>
      <c r="W39" s="293">
        <v>0</v>
      </c>
      <c r="X39" s="293">
        <f t="shared" si="29"/>
        <v>12</v>
      </c>
      <c r="Y39" s="293">
        <f t="shared" si="30"/>
        <v>1.0963910461397899</v>
      </c>
      <c r="Z39" s="296">
        <f t="shared" si="31"/>
        <v>433</v>
      </c>
      <c r="AA39" s="297">
        <f t="shared" si="31"/>
        <v>498</v>
      </c>
      <c r="AB39" s="298">
        <f t="shared" si="31"/>
        <v>0</v>
      </c>
      <c r="AC39" s="298">
        <f t="shared" si="31"/>
        <v>25</v>
      </c>
      <c r="AD39" s="298">
        <f t="shared" si="31"/>
        <v>2</v>
      </c>
      <c r="AE39" s="298">
        <f t="shared" si="31"/>
        <v>5</v>
      </c>
      <c r="AF39" s="298">
        <f t="shared" si="31"/>
        <v>0</v>
      </c>
      <c r="AG39" s="298">
        <f t="shared" si="31"/>
        <v>963</v>
      </c>
      <c r="AH39" s="299">
        <f t="shared" si="6"/>
        <v>87.98538145271813</v>
      </c>
    </row>
    <row r="40" spans="1:36" x14ac:dyDescent="0.2">
      <c r="A40" s="507"/>
      <c r="B40" s="510"/>
      <c r="C40" s="510"/>
      <c r="D40" s="300" t="s">
        <v>848</v>
      </c>
      <c r="E40" s="291">
        <v>2341.75</v>
      </c>
      <c r="F40" s="306">
        <v>9367</v>
      </c>
      <c r="G40" s="293">
        <v>909</v>
      </c>
      <c r="H40" s="293">
        <v>305</v>
      </c>
      <c r="I40" s="293">
        <v>0</v>
      </c>
      <c r="J40" s="293">
        <f>29*15</f>
        <v>435</v>
      </c>
      <c r="K40" s="293">
        <v>0</v>
      </c>
      <c r="L40" s="293">
        <v>0</v>
      </c>
      <c r="M40" s="293">
        <v>0</v>
      </c>
      <c r="N40" s="293">
        <f t="shared" si="27"/>
        <v>1649</v>
      </c>
      <c r="O40" s="294">
        <f t="shared" si="2"/>
        <v>70.417422867513608</v>
      </c>
      <c r="P40" s="295">
        <f t="shared" si="28"/>
        <v>692.75</v>
      </c>
      <c r="Q40" s="293">
        <v>0</v>
      </c>
      <c r="R40" s="293">
        <v>0</v>
      </c>
      <c r="S40" s="293">
        <v>0</v>
      </c>
      <c r="T40" s="293">
        <v>0</v>
      </c>
      <c r="U40" s="293">
        <v>2</v>
      </c>
      <c r="V40" s="293">
        <v>2</v>
      </c>
      <c r="W40" s="293">
        <v>0</v>
      </c>
      <c r="X40" s="293">
        <f t="shared" si="29"/>
        <v>4</v>
      </c>
      <c r="Y40" s="293">
        <f t="shared" si="30"/>
        <v>0.17081242660403542</v>
      </c>
      <c r="Z40" s="296">
        <f t="shared" si="31"/>
        <v>909</v>
      </c>
      <c r="AA40" s="297">
        <f t="shared" si="31"/>
        <v>305</v>
      </c>
      <c r="AB40" s="298">
        <f t="shared" si="31"/>
        <v>0</v>
      </c>
      <c r="AC40" s="298">
        <f t="shared" si="31"/>
        <v>435</v>
      </c>
      <c r="AD40" s="298">
        <f t="shared" si="31"/>
        <v>2</v>
      </c>
      <c r="AE40" s="298">
        <f t="shared" si="31"/>
        <v>2</v>
      </c>
      <c r="AF40" s="298">
        <f t="shared" si="31"/>
        <v>0</v>
      </c>
      <c r="AG40" s="298">
        <f t="shared" si="31"/>
        <v>1653</v>
      </c>
      <c r="AH40" s="299">
        <f t="shared" si="6"/>
        <v>70.588235294117652</v>
      </c>
    </row>
    <row r="41" spans="1:36" x14ac:dyDescent="0.2">
      <c r="A41" s="507"/>
      <c r="B41" s="510"/>
      <c r="C41" s="510"/>
      <c r="D41" s="300" t="s">
        <v>849</v>
      </c>
      <c r="E41" s="291">
        <v>2382.25</v>
      </c>
      <c r="F41" s="306">
        <v>9529</v>
      </c>
      <c r="G41" s="293">
        <v>875</v>
      </c>
      <c r="H41" s="293">
        <v>662</v>
      </c>
      <c r="I41" s="293">
        <v>0</v>
      </c>
      <c r="J41" s="293">
        <v>36</v>
      </c>
      <c r="K41" s="293">
        <v>0</v>
      </c>
      <c r="L41" s="293">
        <v>3</v>
      </c>
      <c r="M41" s="293">
        <v>0</v>
      </c>
      <c r="N41" s="293">
        <f t="shared" si="27"/>
        <v>1576</v>
      </c>
      <c r="O41" s="294">
        <f t="shared" si="2"/>
        <v>66.155945009969557</v>
      </c>
      <c r="P41" s="295">
        <f t="shared" si="28"/>
        <v>806.25</v>
      </c>
      <c r="Q41" s="293">
        <v>0</v>
      </c>
      <c r="R41" s="293">
        <v>0</v>
      </c>
      <c r="S41" s="293">
        <v>0</v>
      </c>
      <c r="T41" s="293">
        <v>0</v>
      </c>
      <c r="U41" s="293">
        <v>2</v>
      </c>
      <c r="V41" s="293">
        <v>2</v>
      </c>
      <c r="W41" s="293">
        <v>0</v>
      </c>
      <c r="X41" s="293">
        <f t="shared" si="29"/>
        <v>4</v>
      </c>
      <c r="Y41" s="293">
        <f t="shared" si="30"/>
        <v>0.16790848987301921</v>
      </c>
      <c r="Z41" s="296">
        <f t="shared" si="31"/>
        <v>875</v>
      </c>
      <c r="AA41" s="297">
        <f t="shared" si="31"/>
        <v>662</v>
      </c>
      <c r="AB41" s="298">
        <f t="shared" si="31"/>
        <v>0</v>
      </c>
      <c r="AC41" s="298">
        <f t="shared" si="31"/>
        <v>36</v>
      </c>
      <c r="AD41" s="298">
        <f t="shared" si="31"/>
        <v>2</v>
      </c>
      <c r="AE41" s="298">
        <f t="shared" si="31"/>
        <v>5</v>
      </c>
      <c r="AF41" s="298">
        <f t="shared" si="31"/>
        <v>0</v>
      </c>
      <c r="AG41" s="298">
        <f t="shared" si="31"/>
        <v>1580</v>
      </c>
      <c r="AH41" s="299">
        <f t="shared" si="6"/>
        <v>66.323853499842585</v>
      </c>
    </row>
    <row r="42" spans="1:36" x14ac:dyDescent="0.2">
      <c r="A42" s="507"/>
      <c r="B42" s="510"/>
      <c r="C42" s="510"/>
      <c r="D42" s="300" t="s">
        <v>850</v>
      </c>
      <c r="E42" s="291">
        <v>779.25</v>
      </c>
      <c r="F42" s="306">
        <v>3117</v>
      </c>
      <c r="G42" s="293">
        <v>358</v>
      </c>
      <c r="H42" s="293">
        <v>312</v>
      </c>
      <c r="I42" s="293">
        <v>0</v>
      </c>
      <c r="J42" s="293">
        <v>12</v>
      </c>
      <c r="K42" s="293">
        <v>0</v>
      </c>
      <c r="L42" s="293">
        <v>0</v>
      </c>
      <c r="M42" s="293">
        <v>0</v>
      </c>
      <c r="N42" s="293">
        <f t="shared" si="27"/>
        <v>682</v>
      </c>
      <c r="O42" s="294">
        <f t="shared" si="2"/>
        <v>87.520051331408411</v>
      </c>
      <c r="P42" s="295">
        <f t="shared" si="28"/>
        <v>97.25</v>
      </c>
      <c r="Q42" s="293">
        <v>0</v>
      </c>
      <c r="R42" s="293">
        <v>0</v>
      </c>
      <c r="S42" s="293">
        <v>0</v>
      </c>
      <c r="T42" s="293">
        <v>0</v>
      </c>
      <c r="U42" s="293">
        <v>2</v>
      </c>
      <c r="V42" s="293">
        <v>2</v>
      </c>
      <c r="W42" s="293">
        <v>0</v>
      </c>
      <c r="X42" s="293">
        <f t="shared" si="29"/>
        <v>4</v>
      </c>
      <c r="Y42" s="293">
        <f t="shared" si="30"/>
        <v>0.51331408405518131</v>
      </c>
      <c r="Z42" s="296">
        <f t="shared" si="31"/>
        <v>358</v>
      </c>
      <c r="AA42" s="297">
        <f t="shared" si="31"/>
        <v>312</v>
      </c>
      <c r="AB42" s="298">
        <f t="shared" si="31"/>
        <v>0</v>
      </c>
      <c r="AC42" s="298">
        <f t="shared" si="31"/>
        <v>12</v>
      </c>
      <c r="AD42" s="298">
        <f t="shared" si="31"/>
        <v>2</v>
      </c>
      <c r="AE42" s="298">
        <f t="shared" si="31"/>
        <v>2</v>
      </c>
      <c r="AF42" s="298">
        <f t="shared" si="31"/>
        <v>0</v>
      </c>
      <c r="AG42" s="298">
        <f t="shared" si="31"/>
        <v>686</v>
      </c>
      <c r="AH42" s="299">
        <f t="shared" si="6"/>
        <v>88.033365415463578</v>
      </c>
    </row>
    <row r="43" spans="1:36" x14ac:dyDescent="0.2">
      <c r="A43" s="507"/>
      <c r="B43" s="510"/>
      <c r="C43" s="512"/>
      <c r="D43" s="302" t="s">
        <v>825</v>
      </c>
      <c r="E43" s="303">
        <f>SUM(E37:E42)</f>
        <v>11807</v>
      </c>
      <c r="F43" s="303">
        <f>SUM(F37:F42)</f>
        <v>47228</v>
      </c>
      <c r="G43" s="303">
        <f t="shared" ref="G43:AG43" si="32">SUM(G37:G42)</f>
        <v>4653</v>
      </c>
      <c r="H43" s="303">
        <f t="shared" si="32"/>
        <v>3479</v>
      </c>
      <c r="I43" s="303">
        <f t="shared" si="32"/>
        <v>0</v>
      </c>
      <c r="J43" s="303">
        <f t="shared" si="32"/>
        <v>577</v>
      </c>
      <c r="K43" s="303">
        <f t="shared" si="32"/>
        <v>0</v>
      </c>
      <c r="L43" s="303">
        <f t="shared" si="32"/>
        <v>6</v>
      </c>
      <c r="M43" s="303">
        <f t="shared" si="32"/>
        <v>0</v>
      </c>
      <c r="N43" s="303">
        <f t="shared" si="32"/>
        <v>8715</v>
      </c>
      <c r="O43" s="304">
        <f t="shared" si="2"/>
        <v>73.812145337511652</v>
      </c>
      <c r="P43" s="303">
        <f t="shared" si="32"/>
        <v>3092</v>
      </c>
      <c r="Q43" s="303">
        <f t="shared" si="32"/>
        <v>173</v>
      </c>
      <c r="R43" s="303">
        <f t="shared" si="32"/>
        <v>0</v>
      </c>
      <c r="S43" s="303">
        <f t="shared" si="32"/>
        <v>0</v>
      </c>
      <c r="T43" s="303">
        <f t="shared" si="32"/>
        <v>2</v>
      </c>
      <c r="U43" s="303">
        <f t="shared" si="32"/>
        <v>8</v>
      </c>
      <c r="V43" s="303">
        <f t="shared" si="32"/>
        <v>8</v>
      </c>
      <c r="W43" s="303">
        <f t="shared" si="32"/>
        <v>0</v>
      </c>
      <c r="X43" s="303">
        <f t="shared" si="32"/>
        <v>191</v>
      </c>
      <c r="Y43" s="303">
        <f t="shared" si="32"/>
        <v>8.8466974716624307</v>
      </c>
      <c r="Z43" s="303">
        <f t="shared" si="32"/>
        <v>4826</v>
      </c>
      <c r="AA43" s="303">
        <f t="shared" si="32"/>
        <v>3479</v>
      </c>
      <c r="AB43" s="303">
        <f t="shared" si="32"/>
        <v>0</v>
      </c>
      <c r="AC43" s="303">
        <f t="shared" si="32"/>
        <v>579</v>
      </c>
      <c r="AD43" s="303">
        <f t="shared" si="32"/>
        <v>8</v>
      </c>
      <c r="AE43" s="303">
        <f t="shared" si="32"/>
        <v>14</v>
      </c>
      <c r="AF43" s="303">
        <f t="shared" si="32"/>
        <v>0</v>
      </c>
      <c r="AG43" s="303">
        <f t="shared" si="32"/>
        <v>8906</v>
      </c>
      <c r="AH43" s="305">
        <f t="shared" si="6"/>
        <v>75.429829762005582</v>
      </c>
      <c r="AJ43" s="267">
        <v>81.11</v>
      </c>
    </row>
    <row r="44" spans="1:36" x14ac:dyDescent="0.2">
      <c r="A44" s="507"/>
      <c r="B44" s="510"/>
      <c r="C44" s="509" t="s">
        <v>470</v>
      </c>
      <c r="D44" s="315" t="s">
        <v>851</v>
      </c>
      <c r="E44" s="291">
        <v>1371.75</v>
      </c>
      <c r="F44" s="306">
        <v>5487</v>
      </c>
      <c r="G44" s="293">
        <v>607</v>
      </c>
      <c r="H44" s="293">
        <v>0</v>
      </c>
      <c r="I44" s="293">
        <v>0</v>
      </c>
      <c r="J44" s="293">
        <v>50</v>
      </c>
      <c r="K44" s="293">
        <v>0</v>
      </c>
      <c r="L44" s="293">
        <v>0</v>
      </c>
      <c r="M44" s="293">
        <v>0</v>
      </c>
      <c r="N44" s="293">
        <f t="shared" ref="N44:N45" si="33">SUM(G44:M44)</f>
        <v>657</v>
      </c>
      <c r="O44" s="294">
        <f t="shared" si="2"/>
        <v>47.895024603608526</v>
      </c>
      <c r="P44" s="295">
        <f t="shared" ref="P44:P45" si="34">E44-N44</f>
        <v>714.75</v>
      </c>
      <c r="Q44" s="293">
        <v>30</v>
      </c>
      <c r="R44" s="293">
        <v>0</v>
      </c>
      <c r="S44" s="293">
        <v>0</v>
      </c>
      <c r="T44" s="293">
        <v>21</v>
      </c>
      <c r="U44" s="293">
        <v>0</v>
      </c>
      <c r="V44" s="293">
        <v>0</v>
      </c>
      <c r="W44" s="293">
        <v>0</v>
      </c>
      <c r="X44" s="293">
        <f t="shared" ref="X44:X45" si="35">Q44+R44+S44+T44+U44+V44+W44</f>
        <v>51</v>
      </c>
      <c r="Y44" s="293">
        <f t="shared" ref="Y44:Y45" si="36">X44/E44*100</f>
        <v>3.7178786221979223</v>
      </c>
      <c r="Z44" s="296">
        <f t="shared" ref="Z44:AG48" si="37">G44+Q44</f>
        <v>637</v>
      </c>
      <c r="AA44" s="297">
        <f t="shared" si="37"/>
        <v>0</v>
      </c>
      <c r="AB44" s="298">
        <f t="shared" si="37"/>
        <v>0</v>
      </c>
      <c r="AC44" s="298">
        <f t="shared" si="37"/>
        <v>71</v>
      </c>
      <c r="AD44" s="298">
        <f t="shared" si="37"/>
        <v>0</v>
      </c>
      <c r="AE44" s="298">
        <f t="shared" si="37"/>
        <v>0</v>
      </c>
      <c r="AF44" s="298">
        <f t="shared" si="37"/>
        <v>0</v>
      </c>
      <c r="AG44" s="298">
        <f t="shared" si="37"/>
        <v>708</v>
      </c>
      <c r="AH44" s="299">
        <f t="shared" si="6"/>
        <v>51.612903225806448</v>
      </c>
    </row>
    <row r="45" spans="1:36" x14ac:dyDescent="0.2">
      <c r="A45" s="507"/>
      <c r="B45" s="510"/>
      <c r="C45" s="510"/>
      <c r="D45" s="316" t="s">
        <v>852</v>
      </c>
      <c r="E45" s="291">
        <v>1014.25</v>
      </c>
      <c r="F45" s="306">
        <v>4057</v>
      </c>
      <c r="G45" s="293">
        <v>389</v>
      </c>
      <c r="H45" s="293">
        <v>0</v>
      </c>
      <c r="I45" s="293">
        <v>0</v>
      </c>
      <c r="J45" s="293">
        <v>0</v>
      </c>
      <c r="K45" s="293">
        <v>69</v>
      </c>
      <c r="L45" s="293">
        <v>5</v>
      </c>
      <c r="M45" s="293">
        <v>0</v>
      </c>
      <c r="N45" s="293">
        <f t="shared" si="33"/>
        <v>463</v>
      </c>
      <c r="O45" s="294">
        <f t="shared" si="2"/>
        <v>45.649494700517621</v>
      </c>
      <c r="P45" s="295">
        <f t="shared" si="34"/>
        <v>551.25</v>
      </c>
      <c r="Q45" s="293">
        <v>0</v>
      </c>
      <c r="R45" s="293">
        <v>0</v>
      </c>
      <c r="S45" s="293">
        <v>0</v>
      </c>
      <c r="T45" s="293">
        <v>0</v>
      </c>
      <c r="U45" s="293">
        <v>0</v>
      </c>
      <c r="V45" s="293">
        <v>0</v>
      </c>
      <c r="W45" s="293">
        <v>0</v>
      </c>
      <c r="X45" s="293">
        <f t="shared" si="35"/>
        <v>0</v>
      </c>
      <c r="Y45" s="293">
        <f t="shared" si="36"/>
        <v>0</v>
      </c>
      <c r="Z45" s="296">
        <f t="shared" si="37"/>
        <v>389</v>
      </c>
      <c r="AA45" s="297">
        <f t="shared" si="37"/>
        <v>0</v>
      </c>
      <c r="AB45" s="298">
        <f t="shared" si="37"/>
        <v>0</v>
      </c>
      <c r="AC45" s="298">
        <f t="shared" si="37"/>
        <v>0</v>
      </c>
      <c r="AD45" s="298">
        <f t="shared" si="37"/>
        <v>69</v>
      </c>
      <c r="AE45" s="298">
        <f t="shared" si="37"/>
        <v>5</v>
      </c>
      <c r="AF45" s="298">
        <f t="shared" si="37"/>
        <v>0</v>
      </c>
      <c r="AG45" s="298">
        <f t="shared" si="37"/>
        <v>463</v>
      </c>
      <c r="AH45" s="299">
        <f t="shared" si="6"/>
        <v>45.649494700517621</v>
      </c>
    </row>
    <row r="46" spans="1:36" x14ac:dyDescent="0.2">
      <c r="A46" s="507"/>
      <c r="B46" s="510"/>
      <c r="C46" s="510"/>
      <c r="D46" s="315" t="s">
        <v>470</v>
      </c>
      <c r="E46" s="291">
        <v>2096.75</v>
      </c>
      <c r="F46" s="306">
        <v>8387</v>
      </c>
      <c r="G46" s="293">
        <v>1006</v>
      </c>
      <c r="H46" s="293">
        <v>226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f>SUM(G46:M46)</f>
        <v>1232</v>
      </c>
      <c r="O46" s="294">
        <f>N46/E46*100</f>
        <v>58.757601049242879</v>
      </c>
      <c r="P46" s="295">
        <f>E46-N46</f>
        <v>864.75</v>
      </c>
      <c r="Q46" s="293">
        <v>25</v>
      </c>
      <c r="R46" s="293">
        <v>15</v>
      </c>
      <c r="S46" s="293">
        <v>0</v>
      </c>
      <c r="T46" s="293">
        <v>40</v>
      </c>
      <c r="U46" s="293">
        <v>0</v>
      </c>
      <c r="V46" s="293">
        <v>0</v>
      </c>
      <c r="W46" s="293">
        <v>0</v>
      </c>
      <c r="X46" s="293">
        <f>Q46+R46+S46+T46+U46+V46+W46</f>
        <v>80</v>
      </c>
      <c r="Y46" s="293">
        <f>X46/E46*100</f>
        <v>3.8154286395612256</v>
      </c>
      <c r="Z46" s="296">
        <f t="shared" si="37"/>
        <v>1031</v>
      </c>
      <c r="AA46" s="297">
        <f t="shared" si="37"/>
        <v>241</v>
      </c>
      <c r="AB46" s="298">
        <f t="shared" si="37"/>
        <v>0</v>
      </c>
      <c r="AC46" s="298">
        <f t="shared" si="37"/>
        <v>40</v>
      </c>
      <c r="AD46" s="298">
        <f t="shared" si="37"/>
        <v>0</v>
      </c>
      <c r="AE46" s="298">
        <f t="shared" si="37"/>
        <v>0</v>
      </c>
      <c r="AF46" s="298">
        <f t="shared" si="37"/>
        <v>0</v>
      </c>
      <c r="AG46" s="298">
        <f t="shared" si="37"/>
        <v>1312</v>
      </c>
      <c r="AH46" s="299">
        <f>AG46/E46*100</f>
        <v>62.573029688804105</v>
      </c>
    </row>
    <row r="47" spans="1:36" x14ac:dyDescent="0.2">
      <c r="A47" s="507"/>
      <c r="B47" s="510"/>
      <c r="C47" s="510"/>
      <c r="D47" s="316" t="s">
        <v>853</v>
      </c>
      <c r="E47" s="291">
        <v>1973.75</v>
      </c>
      <c r="F47" s="306">
        <v>7895</v>
      </c>
      <c r="G47" s="293">
        <v>765</v>
      </c>
      <c r="H47" s="293">
        <v>373</v>
      </c>
      <c r="I47" s="293">
        <v>5</v>
      </c>
      <c r="J47" s="293">
        <v>0</v>
      </c>
      <c r="K47" s="293">
        <v>0</v>
      </c>
      <c r="L47" s="293">
        <v>0</v>
      </c>
      <c r="M47" s="293">
        <v>0</v>
      </c>
      <c r="N47" s="293">
        <f t="shared" ref="N47:N48" si="38">SUM(G47:M47)</f>
        <v>1143</v>
      </c>
      <c r="O47" s="294">
        <f t="shared" ref="O47:O48" si="39">N47/E47*100</f>
        <v>57.910069664344519</v>
      </c>
      <c r="P47" s="295">
        <f t="shared" ref="P47:P48" si="40">E47-N47</f>
        <v>830.75</v>
      </c>
      <c r="Q47" s="293">
        <v>20</v>
      </c>
      <c r="R47" s="293">
        <v>39</v>
      </c>
      <c r="S47" s="293">
        <v>0</v>
      </c>
      <c r="T47" s="293">
        <v>0</v>
      </c>
      <c r="U47" s="293">
        <v>0</v>
      </c>
      <c r="V47" s="293">
        <v>0</v>
      </c>
      <c r="W47" s="293">
        <v>0</v>
      </c>
      <c r="X47" s="293">
        <f t="shared" ref="X47:X48" si="41">Q47+R47+S47+T47+U47+V47+W47</f>
        <v>59</v>
      </c>
      <c r="Y47" s="293">
        <f t="shared" ref="Y47:Y48" si="42">X47/E47*100</f>
        <v>2.9892336922102598</v>
      </c>
      <c r="Z47" s="296">
        <f t="shared" si="37"/>
        <v>785</v>
      </c>
      <c r="AA47" s="297">
        <f t="shared" si="37"/>
        <v>412</v>
      </c>
      <c r="AB47" s="298">
        <f t="shared" si="37"/>
        <v>5</v>
      </c>
      <c r="AC47" s="298">
        <f t="shared" si="37"/>
        <v>0</v>
      </c>
      <c r="AD47" s="298">
        <f t="shared" si="37"/>
        <v>0</v>
      </c>
      <c r="AE47" s="298">
        <f t="shared" si="37"/>
        <v>0</v>
      </c>
      <c r="AF47" s="298">
        <f t="shared" si="37"/>
        <v>0</v>
      </c>
      <c r="AG47" s="298">
        <f t="shared" si="37"/>
        <v>1202</v>
      </c>
      <c r="AH47" s="299">
        <f t="shared" ref="AH47:AH110" si="43">AG47/E47*100</f>
        <v>60.899303356554782</v>
      </c>
    </row>
    <row r="48" spans="1:36" x14ac:dyDescent="0.2">
      <c r="A48" s="507"/>
      <c r="B48" s="510"/>
      <c r="C48" s="510"/>
      <c r="D48" s="316" t="s">
        <v>854</v>
      </c>
      <c r="E48" s="291">
        <v>2008.75</v>
      </c>
      <c r="F48" s="306">
        <v>8035</v>
      </c>
      <c r="G48" s="293">
        <v>872</v>
      </c>
      <c r="H48" s="293">
        <v>0</v>
      </c>
      <c r="I48" s="293">
        <v>0</v>
      </c>
      <c r="J48" s="293">
        <v>110</v>
      </c>
      <c r="K48" s="293">
        <v>0</v>
      </c>
      <c r="L48" s="293">
        <v>0</v>
      </c>
      <c r="M48" s="293">
        <v>0</v>
      </c>
      <c r="N48" s="293">
        <f t="shared" si="38"/>
        <v>982</v>
      </c>
      <c r="O48" s="294">
        <f t="shared" si="39"/>
        <v>48.886123210952086</v>
      </c>
      <c r="P48" s="295">
        <f t="shared" si="40"/>
        <v>1026.75</v>
      </c>
      <c r="Q48" s="293">
        <v>10</v>
      </c>
      <c r="R48" s="293">
        <v>0</v>
      </c>
      <c r="S48" s="293">
        <v>0</v>
      </c>
      <c r="T48" s="293">
        <v>40</v>
      </c>
      <c r="U48" s="293">
        <v>0</v>
      </c>
      <c r="V48" s="293">
        <v>0</v>
      </c>
      <c r="W48" s="293">
        <v>0</v>
      </c>
      <c r="X48" s="293">
        <f t="shared" si="41"/>
        <v>50</v>
      </c>
      <c r="Y48" s="293">
        <f t="shared" si="42"/>
        <v>2.4891101431238334</v>
      </c>
      <c r="Z48" s="296">
        <f t="shared" si="37"/>
        <v>882</v>
      </c>
      <c r="AA48" s="297">
        <f t="shared" si="37"/>
        <v>0</v>
      </c>
      <c r="AB48" s="298">
        <f t="shared" si="37"/>
        <v>0</v>
      </c>
      <c r="AC48" s="298">
        <f t="shared" si="37"/>
        <v>150</v>
      </c>
      <c r="AD48" s="298">
        <f t="shared" si="37"/>
        <v>0</v>
      </c>
      <c r="AE48" s="298">
        <f t="shared" si="37"/>
        <v>0</v>
      </c>
      <c r="AF48" s="298">
        <f t="shared" si="37"/>
        <v>0</v>
      </c>
      <c r="AG48" s="298">
        <f t="shared" si="37"/>
        <v>1032</v>
      </c>
      <c r="AH48" s="299">
        <f t="shared" si="43"/>
        <v>51.375233354075924</v>
      </c>
    </row>
    <row r="49" spans="1:36" x14ac:dyDescent="0.2">
      <c r="A49" s="507"/>
      <c r="B49" s="510"/>
      <c r="C49" s="512"/>
      <c r="D49" s="302" t="s">
        <v>825</v>
      </c>
      <c r="E49" s="303">
        <f>SUM(E44:E48)</f>
        <v>8465.25</v>
      </c>
      <c r="F49" s="303">
        <f>SUM(F44:F48)</f>
        <v>33861</v>
      </c>
      <c r="G49" s="303">
        <f t="shared" ref="G49:AG49" si="44">SUM(G44:G48)</f>
        <v>3639</v>
      </c>
      <c r="H49" s="303">
        <f t="shared" si="44"/>
        <v>599</v>
      </c>
      <c r="I49" s="303">
        <f t="shared" si="44"/>
        <v>5</v>
      </c>
      <c r="J49" s="303">
        <f t="shared" si="44"/>
        <v>160</v>
      </c>
      <c r="K49" s="303">
        <f t="shared" si="44"/>
        <v>69</v>
      </c>
      <c r="L49" s="303">
        <f t="shared" si="44"/>
        <v>5</v>
      </c>
      <c r="M49" s="303">
        <f t="shared" si="44"/>
        <v>0</v>
      </c>
      <c r="N49" s="303">
        <f t="shared" si="44"/>
        <v>4477</v>
      </c>
      <c r="O49" s="303">
        <f t="shared" si="44"/>
        <v>259.09831322866563</v>
      </c>
      <c r="P49" s="303">
        <f t="shared" si="44"/>
        <v>3988.25</v>
      </c>
      <c r="Q49" s="303">
        <f t="shared" si="44"/>
        <v>85</v>
      </c>
      <c r="R49" s="303">
        <f t="shared" si="44"/>
        <v>54</v>
      </c>
      <c r="S49" s="303">
        <f t="shared" si="44"/>
        <v>0</v>
      </c>
      <c r="T49" s="303">
        <f t="shared" si="44"/>
        <v>101</v>
      </c>
      <c r="U49" s="303">
        <f t="shared" si="44"/>
        <v>0</v>
      </c>
      <c r="V49" s="303">
        <f t="shared" si="44"/>
        <v>0</v>
      </c>
      <c r="W49" s="303">
        <f t="shared" si="44"/>
        <v>0</v>
      </c>
      <c r="X49" s="303">
        <f t="shared" si="44"/>
        <v>240</v>
      </c>
      <c r="Y49" s="303">
        <f t="shared" si="44"/>
        <v>13.011651097093241</v>
      </c>
      <c r="Z49" s="303">
        <f t="shared" si="44"/>
        <v>3724</v>
      </c>
      <c r="AA49" s="303">
        <f t="shared" si="44"/>
        <v>653</v>
      </c>
      <c r="AB49" s="303">
        <f t="shared" si="44"/>
        <v>5</v>
      </c>
      <c r="AC49" s="303">
        <f t="shared" si="44"/>
        <v>261</v>
      </c>
      <c r="AD49" s="303">
        <f t="shared" si="44"/>
        <v>69</v>
      </c>
      <c r="AE49" s="303">
        <f t="shared" si="44"/>
        <v>5</v>
      </c>
      <c r="AF49" s="303">
        <f t="shared" si="44"/>
        <v>0</v>
      </c>
      <c r="AG49" s="303">
        <f t="shared" si="44"/>
        <v>4717</v>
      </c>
      <c r="AH49" s="305">
        <f t="shared" si="43"/>
        <v>55.72192197513364</v>
      </c>
      <c r="AJ49" s="267">
        <v>58.54</v>
      </c>
    </row>
    <row r="50" spans="1:36" x14ac:dyDescent="0.2">
      <c r="A50" s="507"/>
      <c r="B50" s="510"/>
      <c r="C50" s="509" t="s">
        <v>855</v>
      </c>
      <c r="D50" s="317" t="s">
        <v>856</v>
      </c>
      <c r="E50" s="291">
        <v>1987</v>
      </c>
      <c r="F50" s="306">
        <v>5331</v>
      </c>
      <c r="G50" s="293">
        <v>1360</v>
      </c>
      <c r="H50" s="293">
        <v>180</v>
      </c>
      <c r="I50" s="293">
        <v>0</v>
      </c>
      <c r="J50" s="293">
        <v>134</v>
      </c>
      <c r="K50" s="293">
        <v>0</v>
      </c>
      <c r="L50" s="293">
        <v>0</v>
      </c>
      <c r="M50" s="293">
        <v>0</v>
      </c>
      <c r="N50" s="293">
        <f t="shared" ref="N50:N54" si="45">SUM(G50:M50)</f>
        <v>1674</v>
      </c>
      <c r="O50" s="294">
        <f t="shared" ref="O50:O54" si="46">N50/E50*100</f>
        <v>84.247609461499749</v>
      </c>
      <c r="P50" s="295">
        <f t="shared" ref="P50:P54" si="47">E50-N50</f>
        <v>313</v>
      </c>
      <c r="Q50" s="293">
        <v>0</v>
      </c>
      <c r="R50" s="293">
        <v>0</v>
      </c>
      <c r="S50" s="293">
        <v>0</v>
      </c>
      <c r="T50" s="293">
        <v>10</v>
      </c>
      <c r="U50" s="293">
        <v>0</v>
      </c>
      <c r="V50" s="293">
        <v>0</v>
      </c>
      <c r="W50" s="293">
        <v>0</v>
      </c>
      <c r="X50" s="293">
        <f t="shared" ref="X50:X54" si="48">Q50+R50+S50+T50+U50+V50+W50</f>
        <v>10</v>
      </c>
      <c r="Y50" s="293">
        <f t="shared" ref="Y50:Y54" si="49">X50/E50*100</f>
        <v>0.50327126321087068</v>
      </c>
      <c r="Z50" s="296">
        <f t="shared" ref="Z50:AG54" si="50">G50+Q50</f>
        <v>1360</v>
      </c>
      <c r="AA50" s="297">
        <f t="shared" si="50"/>
        <v>180</v>
      </c>
      <c r="AB50" s="298">
        <f t="shared" si="50"/>
        <v>0</v>
      </c>
      <c r="AC50" s="298">
        <f t="shared" si="50"/>
        <v>144</v>
      </c>
      <c r="AD50" s="298">
        <f t="shared" si="50"/>
        <v>0</v>
      </c>
      <c r="AE50" s="298">
        <f t="shared" si="50"/>
        <v>0</v>
      </c>
      <c r="AF50" s="298">
        <f t="shared" si="50"/>
        <v>0</v>
      </c>
      <c r="AG50" s="298">
        <f t="shared" si="50"/>
        <v>1684</v>
      </c>
      <c r="AH50" s="299">
        <f t="shared" si="43"/>
        <v>84.750880724710626</v>
      </c>
    </row>
    <row r="51" spans="1:36" x14ac:dyDescent="0.2">
      <c r="A51" s="507"/>
      <c r="B51" s="510"/>
      <c r="C51" s="510"/>
      <c r="D51" s="318" t="s">
        <v>857</v>
      </c>
      <c r="E51" s="291">
        <v>1128.5</v>
      </c>
      <c r="F51" s="306">
        <v>4514</v>
      </c>
      <c r="G51" s="293">
        <v>568</v>
      </c>
      <c r="H51" s="293">
        <v>104</v>
      </c>
      <c r="I51" s="293">
        <v>0</v>
      </c>
      <c r="J51" s="293">
        <v>175</v>
      </c>
      <c r="K51" s="293">
        <v>0</v>
      </c>
      <c r="L51" s="293">
        <v>0</v>
      </c>
      <c r="M51" s="293">
        <v>0</v>
      </c>
      <c r="N51" s="293">
        <f t="shared" si="45"/>
        <v>847</v>
      </c>
      <c r="O51" s="294">
        <f t="shared" si="46"/>
        <v>75.055383252104562</v>
      </c>
      <c r="P51" s="295">
        <f t="shared" si="47"/>
        <v>281.5</v>
      </c>
      <c r="Q51" s="293">
        <v>0</v>
      </c>
      <c r="R51" s="293">
        <v>0</v>
      </c>
      <c r="S51" s="293">
        <v>0</v>
      </c>
      <c r="T51" s="293">
        <v>0</v>
      </c>
      <c r="U51" s="293">
        <v>0</v>
      </c>
      <c r="V51" s="293">
        <v>0</v>
      </c>
      <c r="W51" s="293">
        <v>0</v>
      </c>
      <c r="X51" s="293">
        <f t="shared" si="48"/>
        <v>0</v>
      </c>
      <c r="Y51" s="293">
        <f t="shared" si="49"/>
        <v>0</v>
      </c>
      <c r="Z51" s="296">
        <f t="shared" si="50"/>
        <v>568</v>
      </c>
      <c r="AA51" s="297">
        <f t="shared" si="50"/>
        <v>104</v>
      </c>
      <c r="AB51" s="298">
        <f t="shared" si="50"/>
        <v>0</v>
      </c>
      <c r="AC51" s="298">
        <f t="shared" si="50"/>
        <v>175</v>
      </c>
      <c r="AD51" s="298">
        <f t="shared" si="50"/>
        <v>0</v>
      </c>
      <c r="AE51" s="298">
        <f t="shared" si="50"/>
        <v>0</v>
      </c>
      <c r="AF51" s="298">
        <f t="shared" si="50"/>
        <v>0</v>
      </c>
      <c r="AG51" s="298">
        <f t="shared" si="50"/>
        <v>847</v>
      </c>
      <c r="AH51" s="299">
        <f t="shared" si="43"/>
        <v>75.055383252104562</v>
      </c>
    </row>
    <row r="52" spans="1:36" x14ac:dyDescent="0.2">
      <c r="A52" s="507"/>
      <c r="B52" s="510"/>
      <c r="C52" s="510"/>
      <c r="D52" s="317" t="s">
        <v>858</v>
      </c>
      <c r="E52" s="291">
        <v>1484.5</v>
      </c>
      <c r="F52" s="306">
        <v>5938</v>
      </c>
      <c r="G52" s="293">
        <f>1361/2</f>
        <v>680.5</v>
      </c>
      <c r="H52" s="293">
        <v>50</v>
      </c>
      <c r="I52" s="293">
        <v>0</v>
      </c>
      <c r="J52" s="293">
        <v>199</v>
      </c>
      <c r="K52" s="293">
        <v>234</v>
      </c>
      <c r="L52" s="293">
        <v>0</v>
      </c>
      <c r="M52" s="293">
        <v>0</v>
      </c>
      <c r="N52" s="293">
        <f t="shared" si="45"/>
        <v>1163.5</v>
      </c>
      <c r="O52" s="294">
        <f t="shared" si="46"/>
        <v>78.376557763556747</v>
      </c>
      <c r="P52" s="295">
        <f t="shared" si="47"/>
        <v>321</v>
      </c>
      <c r="Q52" s="293">
        <v>0</v>
      </c>
      <c r="R52" s="293">
        <v>0</v>
      </c>
      <c r="S52" s="293">
        <v>0</v>
      </c>
      <c r="T52" s="293">
        <v>0</v>
      </c>
      <c r="U52" s="293">
        <v>0</v>
      </c>
      <c r="V52" s="293">
        <v>0</v>
      </c>
      <c r="W52" s="293">
        <v>0</v>
      </c>
      <c r="X52" s="293">
        <f t="shared" si="48"/>
        <v>0</v>
      </c>
      <c r="Y52" s="293">
        <f t="shared" si="49"/>
        <v>0</v>
      </c>
      <c r="Z52" s="296">
        <f t="shared" si="50"/>
        <v>680.5</v>
      </c>
      <c r="AA52" s="297">
        <f t="shared" si="50"/>
        <v>50</v>
      </c>
      <c r="AB52" s="298">
        <f t="shared" si="50"/>
        <v>0</v>
      </c>
      <c r="AC52" s="298">
        <f t="shared" si="50"/>
        <v>199</v>
      </c>
      <c r="AD52" s="298">
        <f t="shared" si="50"/>
        <v>234</v>
      </c>
      <c r="AE52" s="298">
        <f t="shared" si="50"/>
        <v>0</v>
      </c>
      <c r="AF52" s="298">
        <f t="shared" si="50"/>
        <v>0</v>
      </c>
      <c r="AG52" s="298">
        <f t="shared" si="50"/>
        <v>1163.5</v>
      </c>
      <c r="AH52" s="299">
        <f t="shared" si="43"/>
        <v>78.376557763556747</v>
      </c>
    </row>
    <row r="53" spans="1:36" x14ac:dyDescent="0.2">
      <c r="A53" s="507"/>
      <c r="B53" s="510"/>
      <c r="C53" s="510"/>
      <c r="D53" s="319" t="s">
        <v>855</v>
      </c>
      <c r="E53" s="291">
        <v>1288.5</v>
      </c>
      <c r="F53" s="306">
        <v>5154</v>
      </c>
      <c r="G53" s="293">
        <v>580</v>
      </c>
      <c r="H53" s="293">
        <v>365</v>
      </c>
      <c r="I53" s="293">
        <v>0</v>
      </c>
      <c r="J53" s="293">
        <v>0</v>
      </c>
      <c r="K53" s="293">
        <v>0</v>
      </c>
      <c r="L53" s="293">
        <v>0</v>
      </c>
      <c r="M53" s="293">
        <v>0</v>
      </c>
      <c r="N53" s="293">
        <f t="shared" si="45"/>
        <v>945</v>
      </c>
      <c r="O53" s="294">
        <f t="shared" si="46"/>
        <v>73.34109429569267</v>
      </c>
      <c r="P53" s="295">
        <f t="shared" si="47"/>
        <v>343.5</v>
      </c>
      <c r="Q53" s="293">
        <v>0</v>
      </c>
      <c r="R53" s="293">
        <v>0</v>
      </c>
      <c r="S53" s="293">
        <v>0</v>
      </c>
      <c r="T53" s="293">
        <v>0</v>
      </c>
      <c r="U53" s="293">
        <v>0</v>
      </c>
      <c r="V53" s="293">
        <v>0</v>
      </c>
      <c r="W53" s="293">
        <v>0</v>
      </c>
      <c r="X53" s="293">
        <f t="shared" si="48"/>
        <v>0</v>
      </c>
      <c r="Y53" s="293">
        <f t="shared" si="49"/>
        <v>0</v>
      </c>
      <c r="Z53" s="296">
        <f t="shared" si="50"/>
        <v>580</v>
      </c>
      <c r="AA53" s="297">
        <f t="shared" si="50"/>
        <v>365</v>
      </c>
      <c r="AB53" s="298">
        <f t="shared" si="50"/>
        <v>0</v>
      </c>
      <c r="AC53" s="298">
        <f t="shared" si="50"/>
        <v>0</v>
      </c>
      <c r="AD53" s="298">
        <f t="shared" si="50"/>
        <v>0</v>
      </c>
      <c r="AE53" s="298">
        <f t="shared" si="50"/>
        <v>0</v>
      </c>
      <c r="AF53" s="298">
        <f t="shared" si="50"/>
        <v>0</v>
      </c>
      <c r="AG53" s="298">
        <f t="shared" si="50"/>
        <v>945</v>
      </c>
      <c r="AH53" s="299">
        <f t="shared" si="43"/>
        <v>73.34109429569267</v>
      </c>
    </row>
    <row r="54" spans="1:36" x14ac:dyDescent="0.2">
      <c r="A54" s="507"/>
      <c r="B54" s="510"/>
      <c r="C54" s="510"/>
      <c r="D54" s="317" t="s">
        <v>859</v>
      </c>
      <c r="E54" s="291">
        <v>698</v>
      </c>
      <c r="F54" s="306">
        <v>2792</v>
      </c>
      <c r="G54" s="293">
        <v>527</v>
      </c>
      <c r="H54" s="293">
        <v>0</v>
      </c>
      <c r="I54" s="293">
        <v>24</v>
      </c>
      <c r="J54" s="293">
        <v>0</v>
      </c>
      <c r="K54" s="293">
        <v>0</v>
      </c>
      <c r="L54" s="293">
        <v>0</v>
      </c>
      <c r="M54" s="293">
        <v>0</v>
      </c>
      <c r="N54" s="293">
        <f t="shared" si="45"/>
        <v>551</v>
      </c>
      <c r="O54" s="294">
        <f t="shared" si="46"/>
        <v>78.939828080229219</v>
      </c>
      <c r="P54" s="295">
        <f t="shared" si="47"/>
        <v>147</v>
      </c>
      <c r="Q54" s="293">
        <v>0</v>
      </c>
      <c r="R54" s="293">
        <v>0</v>
      </c>
      <c r="S54" s="293">
        <v>0</v>
      </c>
      <c r="T54" s="293">
        <v>0</v>
      </c>
      <c r="U54" s="293">
        <v>0</v>
      </c>
      <c r="V54" s="293">
        <v>0</v>
      </c>
      <c r="W54" s="293">
        <v>0</v>
      </c>
      <c r="X54" s="293">
        <f t="shared" si="48"/>
        <v>0</v>
      </c>
      <c r="Y54" s="293">
        <f t="shared" si="49"/>
        <v>0</v>
      </c>
      <c r="Z54" s="296">
        <f t="shared" si="50"/>
        <v>527</v>
      </c>
      <c r="AA54" s="297">
        <f t="shared" si="50"/>
        <v>0</v>
      </c>
      <c r="AB54" s="298">
        <f t="shared" si="50"/>
        <v>24</v>
      </c>
      <c r="AC54" s="298">
        <f t="shared" si="50"/>
        <v>0</v>
      </c>
      <c r="AD54" s="298">
        <f t="shared" si="50"/>
        <v>0</v>
      </c>
      <c r="AE54" s="298">
        <f t="shared" si="50"/>
        <v>0</v>
      </c>
      <c r="AF54" s="298">
        <f t="shared" si="50"/>
        <v>0</v>
      </c>
      <c r="AG54" s="298">
        <f t="shared" si="50"/>
        <v>551</v>
      </c>
      <c r="AH54" s="299">
        <f t="shared" si="43"/>
        <v>78.939828080229219</v>
      </c>
    </row>
    <row r="55" spans="1:36" x14ac:dyDescent="0.2">
      <c r="A55" s="516"/>
      <c r="B55" s="512"/>
      <c r="C55" s="512"/>
      <c r="D55" s="302" t="s">
        <v>825</v>
      </c>
      <c r="E55" s="303">
        <f>SUM(E50:E54)</f>
        <v>6586.5</v>
      </c>
      <c r="F55" s="303">
        <f>SUM(F50:F54)</f>
        <v>23729</v>
      </c>
      <c r="G55" s="303">
        <f t="shared" ref="G55:AG55" si="51">SUM(G50:G54)</f>
        <v>3715.5</v>
      </c>
      <c r="H55" s="303">
        <f t="shared" si="51"/>
        <v>699</v>
      </c>
      <c r="I55" s="303">
        <f t="shared" si="51"/>
        <v>24</v>
      </c>
      <c r="J55" s="303">
        <f t="shared" si="51"/>
        <v>508</v>
      </c>
      <c r="K55" s="303">
        <f t="shared" si="51"/>
        <v>234</v>
      </c>
      <c r="L55" s="303">
        <f t="shared" si="51"/>
        <v>0</v>
      </c>
      <c r="M55" s="303">
        <f t="shared" si="51"/>
        <v>0</v>
      </c>
      <c r="N55" s="303">
        <f t="shared" si="51"/>
        <v>5180.5</v>
      </c>
      <c r="O55" s="303">
        <f t="shared" si="51"/>
        <v>389.96047285308299</v>
      </c>
      <c r="P55" s="303">
        <f t="shared" si="51"/>
        <v>1406</v>
      </c>
      <c r="Q55" s="303">
        <f t="shared" si="51"/>
        <v>0</v>
      </c>
      <c r="R55" s="303">
        <f t="shared" si="51"/>
        <v>0</v>
      </c>
      <c r="S55" s="303">
        <f t="shared" si="51"/>
        <v>0</v>
      </c>
      <c r="T55" s="303">
        <f t="shared" si="51"/>
        <v>10</v>
      </c>
      <c r="U55" s="303">
        <f t="shared" si="51"/>
        <v>0</v>
      </c>
      <c r="V55" s="303">
        <f t="shared" si="51"/>
        <v>0</v>
      </c>
      <c r="W55" s="303">
        <f t="shared" si="51"/>
        <v>0</v>
      </c>
      <c r="X55" s="303">
        <f t="shared" si="51"/>
        <v>10</v>
      </c>
      <c r="Y55" s="303">
        <f t="shared" si="51"/>
        <v>0.50327126321087068</v>
      </c>
      <c r="Z55" s="303">
        <f t="shared" si="51"/>
        <v>3715.5</v>
      </c>
      <c r="AA55" s="303">
        <f t="shared" si="51"/>
        <v>699</v>
      </c>
      <c r="AB55" s="303">
        <f t="shared" si="51"/>
        <v>24</v>
      </c>
      <c r="AC55" s="303">
        <f t="shared" si="51"/>
        <v>518</v>
      </c>
      <c r="AD55" s="303">
        <f t="shared" si="51"/>
        <v>234</v>
      </c>
      <c r="AE55" s="303">
        <f t="shared" si="51"/>
        <v>0</v>
      </c>
      <c r="AF55" s="303">
        <f t="shared" si="51"/>
        <v>0</v>
      </c>
      <c r="AG55" s="303">
        <f t="shared" si="51"/>
        <v>5190.5</v>
      </c>
      <c r="AH55" s="305">
        <f t="shared" si="43"/>
        <v>78.805131708798299</v>
      </c>
      <c r="AJ55" s="267">
        <v>65.930000000000007</v>
      </c>
    </row>
    <row r="56" spans="1:36" x14ac:dyDescent="0.2">
      <c r="A56" s="517">
        <v>4</v>
      </c>
      <c r="B56" s="509" t="s">
        <v>860</v>
      </c>
      <c r="C56" s="509" t="s">
        <v>861</v>
      </c>
      <c r="D56" s="317" t="s">
        <v>862</v>
      </c>
      <c r="E56" s="291">
        <v>1588.75</v>
      </c>
      <c r="F56" s="306">
        <v>6355</v>
      </c>
      <c r="G56" s="293">
        <v>1107</v>
      </c>
      <c r="H56" s="293">
        <v>0</v>
      </c>
      <c r="I56" s="293">
        <v>0</v>
      </c>
      <c r="J56" s="293">
        <v>0</v>
      </c>
      <c r="K56" s="293">
        <v>0</v>
      </c>
      <c r="L56" s="293">
        <v>0</v>
      </c>
      <c r="M56" s="293">
        <v>0</v>
      </c>
      <c r="N56" s="293">
        <f t="shared" ref="N56:N60" si="52">SUM(G56:M56)</f>
        <v>1107</v>
      </c>
      <c r="O56" s="294">
        <f t="shared" ref="O56:O60" si="53">N56/E56*100</f>
        <v>69.677419354838705</v>
      </c>
      <c r="P56" s="295">
        <f t="shared" ref="P56:P60" si="54">E56-N56</f>
        <v>481.75</v>
      </c>
      <c r="Q56" s="293">
        <v>0</v>
      </c>
      <c r="R56" s="293">
        <v>0</v>
      </c>
      <c r="S56" s="293">
        <v>0</v>
      </c>
      <c r="T56" s="293">
        <v>0</v>
      </c>
      <c r="U56" s="293">
        <v>0</v>
      </c>
      <c r="V56" s="293">
        <v>0</v>
      </c>
      <c r="W56" s="293">
        <v>0</v>
      </c>
      <c r="X56" s="293">
        <f t="shared" ref="X56:X60" si="55">Q56+R56+S56+T56+U56+V56+W56</f>
        <v>0</v>
      </c>
      <c r="Y56" s="293">
        <f t="shared" ref="Y56:Y60" si="56">X56/E56*100</f>
        <v>0</v>
      </c>
      <c r="Z56" s="296">
        <f t="shared" ref="Z56:AG60" si="57">G56+Q56</f>
        <v>1107</v>
      </c>
      <c r="AA56" s="297">
        <f t="shared" si="57"/>
        <v>0</v>
      </c>
      <c r="AB56" s="298">
        <f t="shared" si="57"/>
        <v>0</v>
      </c>
      <c r="AC56" s="298">
        <f t="shared" si="57"/>
        <v>0</v>
      </c>
      <c r="AD56" s="298">
        <f t="shared" si="57"/>
        <v>0</v>
      </c>
      <c r="AE56" s="298">
        <f t="shared" si="57"/>
        <v>0</v>
      </c>
      <c r="AF56" s="298">
        <f t="shared" si="57"/>
        <v>0</v>
      </c>
      <c r="AG56" s="298">
        <f t="shared" si="57"/>
        <v>1107</v>
      </c>
      <c r="AH56" s="299">
        <f t="shared" si="43"/>
        <v>69.677419354838705</v>
      </c>
    </row>
    <row r="57" spans="1:36" x14ac:dyDescent="0.2">
      <c r="A57" s="507"/>
      <c r="B57" s="510"/>
      <c r="C57" s="510"/>
      <c r="D57" s="318" t="s">
        <v>863</v>
      </c>
      <c r="E57" s="291">
        <v>1556</v>
      </c>
      <c r="F57" s="306">
        <v>6224</v>
      </c>
      <c r="G57" s="293">
        <v>1046</v>
      </c>
      <c r="H57" s="293">
        <v>176</v>
      </c>
      <c r="I57" s="293">
        <v>0</v>
      </c>
      <c r="J57" s="293">
        <v>0</v>
      </c>
      <c r="K57" s="293">
        <v>0</v>
      </c>
      <c r="L57" s="293">
        <v>0</v>
      </c>
      <c r="M57" s="293">
        <v>0</v>
      </c>
      <c r="N57" s="293">
        <f t="shared" si="52"/>
        <v>1222</v>
      </c>
      <c r="O57" s="294">
        <f t="shared" si="53"/>
        <v>78.534704370179952</v>
      </c>
      <c r="P57" s="295">
        <f t="shared" si="54"/>
        <v>334</v>
      </c>
      <c r="Q57" s="293">
        <v>0</v>
      </c>
      <c r="R57" s="293">
        <v>0</v>
      </c>
      <c r="S57" s="293">
        <v>0</v>
      </c>
      <c r="T57" s="293">
        <v>0</v>
      </c>
      <c r="U57" s="293">
        <v>0</v>
      </c>
      <c r="V57" s="293">
        <v>0</v>
      </c>
      <c r="W57" s="293">
        <v>0</v>
      </c>
      <c r="X57" s="293">
        <f t="shared" si="55"/>
        <v>0</v>
      </c>
      <c r="Y57" s="293">
        <f t="shared" si="56"/>
        <v>0</v>
      </c>
      <c r="Z57" s="296">
        <f t="shared" si="57"/>
        <v>1046</v>
      </c>
      <c r="AA57" s="297">
        <f t="shared" si="57"/>
        <v>176</v>
      </c>
      <c r="AB57" s="298">
        <f t="shared" si="57"/>
        <v>0</v>
      </c>
      <c r="AC57" s="298">
        <f t="shared" si="57"/>
        <v>0</v>
      </c>
      <c r="AD57" s="298">
        <f t="shared" si="57"/>
        <v>0</v>
      </c>
      <c r="AE57" s="298">
        <f t="shared" si="57"/>
        <v>0</v>
      </c>
      <c r="AF57" s="298">
        <f t="shared" si="57"/>
        <v>0</v>
      </c>
      <c r="AG57" s="298">
        <f t="shared" si="57"/>
        <v>1222</v>
      </c>
      <c r="AH57" s="299">
        <f t="shared" si="43"/>
        <v>78.534704370179952</v>
      </c>
    </row>
    <row r="58" spans="1:36" x14ac:dyDescent="0.2">
      <c r="A58" s="507"/>
      <c r="B58" s="510"/>
      <c r="C58" s="510"/>
      <c r="D58" s="317" t="s">
        <v>861</v>
      </c>
      <c r="E58" s="291">
        <v>2086.75</v>
      </c>
      <c r="F58" s="306">
        <v>8347</v>
      </c>
      <c r="G58" s="293">
        <v>1537</v>
      </c>
      <c r="H58" s="293">
        <v>256</v>
      </c>
      <c r="I58" s="293">
        <v>0</v>
      </c>
      <c r="J58" s="293">
        <v>0</v>
      </c>
      <c r="K58" s="293">
        <v>0</v>
      </c>
      <c r="L58" s="293">
        <v>0</v>
      </c>
      <c r="M58" s="293">
        <v>0</v>
      </c>
      <c r="N58" s="293">
        <f t="shared" si="52"/>
        <v>1793</v>
      </c>
      <c r="O58" s="294">
        <f t="shared" si="53"/>
        <v>85.923086138732472</v>
      </c>
      <c r="P58" s="295">
        <f t="shared" si="54"/>
        <v>293.75</v>
      </c>
      <c r="Q58" s="293">
        <v>0</v>
      </c>
      <c r="R58" s="293">
        <v>0</v>
      </c>
      <c r="S58" s="293">
        <v>0</v>
      </c>
      <c r="T58" s="293">
        <v>0</v>
      </c>
      <c r="U58" s="293">
        <v>0</v>
      </c>
      <c r="V58" s="293">
        <v>0</v>
      </c>
      <c r="W58" s="293">
        <v>0</v>
      </c>
      <c r="X58" s="293">
        <f t="shared" si="55"/>
        <v>0</v>
      </c>
      <c r="Y58" s="293">
        <f t="shared" si="56"/>
        <v>0</v>
      </c>
      <c r="Z58" s="296">
        <f t="shared" si="57"/>
        <v>1537</v>
      </c>
      <c r="AA58" s="297">
        <f t="shared" si="57"/>
        <v>256</v>
      </c>
      <c r="AB58" s="298">
        <f t="shared" si="57"/>
        <v>0</v>
      </c>
      <c r="AC58" s="298">
        <f t="shared" si="57"/>
        <v>0</v>
      </c>
      <c r="AD58" s="298">
        <f t="shared" si="57"/>
        <v>0</v>
      </c>
      <c r="AE58" s="298">
        <f t="shared" si="57"/>
        <v>0</v>
      </c>
      <c r="AF58" s="298">
        <f t="shared" si="57"/>
        <v>0</v>
      </c>
      <c r="AG58" s="298">
        <f t="shared" si="57"/>
        <v>1793</v>
      </c>
      <c r="AH58" s="299">
        <f t="shared" si="43"/>
        <v>85.923086138732472</v>
      </c>
    </row>
    <row r="59" spans="1:36" x14ac:dyDescent="0.2">
      <c r="A59" s="507"/>
      <c r="B59" s="510"/>
      <c r="C59" s="510"/>
      <c r="D59" s="318" t="s">
        <v>864</v>
      </c>
      <c r="E59" s="291">
        <v>1102.5</v>
      </c>
      <c r="F59" s="306">
        <v>4410</v>
      </c>
      <c r="G59" s="293">
        <v>922</v>
      </c>
      <c r="H59" s="293">
        <v>0</v>
      </c>
      <c r="I59" s="293">
        <v>0</v>
      </c>
      <c r="J59" s="293">
        <v>0</v>
      </c>
      <c r="K59" s="293">
        <v>0</v>
      </c>
      <c r="L59" s="293">
        <v>0</v>
      </c>
      <c r="M59" s="293">
        <v>0</v>
      </c>
      <c r="N59" s="293">
        <f t="shared" si="52"/>
        <v>922</v>
      </c>
      <c r="O59" s="294">
        <f t="shared" si="53"/>
        <v>83.628117913832199</v>
      </c>
      <c r="P59" s="295">
        <f t="shared" si="54"/>
        <v>180.5</v>
      </c>
      <c r="Q59" s="293">
        <v>0</v>
      </c>
      <c r="R59" s="293">
        <v>0</v>
      </c>
      <c r="S59" s="293">
        <v>0</v>
      </c>
      <c r="T59" s="293">
        <v>0</v>
      </c>
      <c r="U59" s="293">
        <v>0</v>
      </c>
      <c r="V59" s="293">
        <v>0</v>
      </c>
      <c r="W59" s="293">
        <v>0</v>
      </c>
      <c r="X59" s="293">
        <f t="shared" si="55"/>
        <v>0</v>
      </c>
      <c r="Y59" s="293">
        <f t="shared" si="56"/>
        <v>0</v>
      </c>
      <c r="Z59" s="296">
        <f t="shared" si="57"/>
        <v>922</v>
      </c>
      <c r="AA59" s="297">
        <f t="shared" si="57"/>
        <v>0</v>
      </c>
      <c r="AB59" s="298">
        <f t="shared" si="57"/>
        <v>0</v>
      </c>
      <c r="AC59" s="298">
        <f t="shared" si="57"/>
        <v>0</v>
      </c>
      <c r="AD59" s="298">
        <f t="shared" si="57"/>
        <v>0</v>
      </c>
      <c r="AE59" s="298">
        <f t="shared" si="57"/>
        <v>0</v>
      </c>
      <c r="AF59" s="298">
        <f t="shared" si="57"/>
        <v>0</v>
      </c>
      <c r="AG59" s="298">
        <f t="shared" si="57"/>
        <v>922</v>
      </c>
      <c r="AH59" s="299">
        <f t="shared" si="43"/>
        <v>83.628117913832199</v>
      </c>
    </row>
    <row r="60" spans="1:36" x14ac:dyDescent="0.2">
      <c r="A60" s="507"/>
      <c r="B60" s="510"/>
      <c r="C60" s="510"/>
      <c r="D60" s="318" t="s">
        <v>865</v>
      </c>
      <c r="E60" s="291">
        <v>1846.25</v>
      </c>
      <c r="F60" s="306">
        <v>7385</v>
      </c>
      <c r="G60" s="293">
        <v>1527</v>
      </c>
      <c r="H60" s="293">
        <v>0</v>
      </c>
      <c r="I60" s="293">
        <v>0</v>
      </c>
      <c r="J60" s="293">
        <v>0</v>
      </c>
      <c r="K60" s="293">
        <v>0</v>
      </c>
      <c r="L60" s="293">
        <v>0</v>
      </c>
      <c r="M60" s="293">
        <v>0</v>
      </c>
      <c r="N60" s="293">
        <f t="shared" si="52"/>
        <v>1527</v>
      </c>
      <c r="O60" s="294">
        <f t="shared" si="53"/>
        <v>82.708192281651989</v>
      </c>
      <c r="P60" s="295">
        <f t="shared" si="54"/>
        <v>319.25</v>
      </c>
      <c r="Q60" s="293">
        <v>0</v>
      </c>
      <c r="R60" s="293">
        <v>0</v>
      </c>
      <c r="S60" s="293">
        <v>0</v>
      </c>
      <c r="T60" s="293">
        <v>0</v>
      </c>
      <c r="U60" s="293">
        <v>0</v>
      </c>
      <c r="V60" s="293">
        <v>0</v>
      </c>
      <c r="W60" s="293">
        <v>0</v>
      </c>
      <c r="X60" s="293">
        <f t="shared" si="55"/>
        <v>0</v>
      </c>
      <c r="Y60" s="293">
        <f t="shared" si="56"/>
        <v>0</v>
      </c>
      <c r="Z60" s="296">
        <f t="shared" si="57"/>
        <v>1527</v>
      </c>
      <c r="AA60" s="297">
        <f t="shared" si="57"/>
        <v>0</v>
      </c>
      <c r="AB60" s="298">
        <f t="shared" si="57"/>
        <v>0</v>
      </c>
      <c r="AC60" s="298">
        <f t="shared" si="57"/>
        <v>0</v>
      </c>
      <c r="AD60" s="298">
        <f t="shared" si="57"/>
        <v>0</v>
      </c>
      <c r="AE60" s="298">
        <f t="shared" si="57"/>
        <v>0</v>
      </c>
      <c r="AF60" s="298">
        <f t="shared" si="57"/>
        <v>0</v>
      </c>
      <c r="AG60" s="298">
        <f t="shared" si="57"/>
        <v>1527</v>
      </c>
      <c r="AH60" s="299">
        <f t="shared" si="43"/>
        <v>82.708192281651989</v>
      </c>
    </row>
    <row r="61" spans="1:36" x14ac:dyDescent="0.2">
      <c r="A61" s="507"/>
      <c r="B61" s="510"/>
      <c r="C61" s="512"/>
      <c r="D61" s="302" t="s">
        <v>825</v>
      </c>
      <c r="E61" s="303">
        <f>SUM(E56:E60)</f>
        <v>8180.25</v>
      </c>
      <c r="F61" s="303">
        <f>SUM(F56:F60)</f>
        <v>32721</v>
      </c>
      <c r="G61" s="303">
        <f t="shared" ref="G61:AG61" si="58">SUM(G56:G60)</f>
        <v>6139</v>
      </c>
      <c r="H61" s="303">
        <f t="shared" si="58"/>
        <v>432</v>
      </c>
      <c r="I61" s="303">
        <f t="shared" si="58"/>
        <v>0</v>
      </c>
      <c r="J61" s="303">
        <f t="shared" si="58"/>
        <v>0</v>
      </c>
      <c r="K61" s="303">
        <f t="shared" si="58"/>
        <v>0</v>
      </c>
      <c r="L61" s="303">
        <f t="shared" si="58"/>
        <v>0</v>
      </c>
      <c r="M61" s="303">
        <f t="shared" si="58"/>
        <v>0</v>
      </c>
      <c r="N61" s="303">
        <f t="shared" si="58"/>
        <v>6571</v>
      </c>
      <c r="O61" s="303">
        <f t="shared" si="58"/>
        <v>400.47152005923527</v>
      </c>
      <c r="P61" s="303">
        <f t="shared" si="58"/>
        <v>1609.25</v>
      </c>
      <c r="Q61" s="303">
        <f t="shared" si="58"/>
        <v>0</v>
      </c>
      <c r="R61" s="303">
        <f t="shared" si="58"/>
        <v>0</v>
      </c>
      <c r="S61" s="303">
        <f t="shared" si="58"/>
        <v>0</v>
      </c>
      <c r="T61" s="303">
        <f t="shared" si="58"/>
        <v>0</v>
      </c>
      <c r="U61" s="303">
        <f t="shared" si="58"/>
        <v>0</v>
      </c>
      <c r="V61" s="303">
        <f t="shared" si="58"/>
        <v>0</v>
      </c>
      <c r="W61" s="303">
        <f t="shared" si="58"/>
        <v>0</v>
      </c>
      <c r="X61" s="303">
        <f t="shared" si="58"/>
        <v>0</v>
      </c>
      <c r="Y61" s="303">
        <f t="shared" si="58"/>
        <v>0</v>
      </c>
      <c r="Z61" s="303">
        <f t="shared" si="58"/>
        <v>6139</v>
      </c>
      <c r="AA61" s="303">
        <f t="shared" si="58"/>
        <v>432</v>
      </c>
      <c r="AB61" s="303">
        <f t="shared" si="58"/>
        <v>0</v>
      </c>
      <c r="AC61" s="303">
        <f t="shared" si="58"/>
        <v>0</v>
      </c>
      <c r="AD61" s="303">
        <f t="shared" si="58"/>
        <v>0</v>
      </c>
      <c r="AE61" s="303">
        <f t="shared" si="58"/>
        <v>0</v>
      </c>
      <c r="AF61" s="303">
        <f t="shared" si="58"/>
        <v>0</v>
      </c>
      <c r="AG61" s="303">
        <f t="shared" si="58"/>
        <v>6571</v>
      </c>
      <c r="AH61" s="305">
        <f t="shared" si="43"/>
        <v>80.327618349072466</v>
      </c>
      <c r="AJ61" s="267">
        <v>77.38</v>
      </c>
    </row>
    <row r="62" spans="1:36" x14ac:dyDescent="0.2">
      <c r="A62" s="507"/>
      <c r="B62" s="510"/>
      <c r="C62" s="509" t="s">
        <v>866</v>
      </c>
      <c r="D62" s="317" t="s">
        <v>867</v>
      </c>
      <c r="E62" s="291">
        <v>1231.25</v>
      </c>
      <c r="F62" s="306">
        <v>4925</v>
      </c>
      <c r="G62" s="293">
        <v>725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f t="shared" ref="N62:N66" si="59">SUM(G62:M62)</f>
        <v>725</v>
      </c>
      <c r="O62" s="294">
        <f t="shared" ref="O62:O66" si="60">N62/E62*100</f>
        <v>58.883248730964468</v>
      </c>
      <c r="P62" s="295">
        <f t="shared" ref="P62:P66" si="61">E62-N62</f>
        <v>506.25</v>
      </c>
      <c r="Q62" s="293">
        <v>0</v>
      </c>
      <c r="R62" s="293">
        <v>0</v>
      </c>
      <c r="S62" s="293">
        <v>0</v>
      </c>
      <c r="T62" s="293">
        <v>0</v>
      </c>
      <c r="U62" s="293">
        <v>0</v>
      </c>
      <c r="V62" s="293">
        <v>0</v>
      </c>
      <c r="W62" s="293">
        <v>0</v>
      </c>
      <c r="X62" s="293">
        <f t="shared" ref="X62:X66" si="62">Q62+R62+S62+T62+U62+V62+W62</f>
        <v>0</v>
      </c>
      <c r="Y62" s="293">
        <f t="shared" ref="Y62:Y66" si="63">X62/E62*100</f>
        <v>0</v>
      </c>
      <c r="Z62" s="296">
        <f t="shared" ref="Z62:AG66" si="64">G62+Q62</f>
        <v>725</v>
      </c>
      <c r="AA62" s="297">
        <f t="shared" si="64"/>
        <v>0</v>
      </c>
      <c r="AB62" s="298">
        <f t="shared" si="64"/>
        <v>0</v>
      </c>
      <c r="AC62" s="298">
        <f t="shared" si="64"/>
        <v>0</v>
      </c>
      <c r="AD62" s="298">
        <f t="shared" si="64"/>
        <v>0</v>
      </c>
      <c r="AE62" s="298">
        <f t="shared" si="64"/>
        <v>0</v>
      </c>
      <c r="AF62" s="298">
        <f t="shared" si="64"/>
        <v>0</v>
      </c>
      <c r="AG62" s="298">
        <f t="shared" si="64"/>
        <v>725</v>
      </c>
      <c r="AH62" s="299">
        <f t="shared" si="43"/>
        <v>58.883248730964468</v>
      </c>
    </row>
    <row r="63" spans="1:36" x14ac:dyDescent="0.2">
      <c r="A63" s="507"/>
      <c r="B63" s="510"/>
      <c r="C63" s="510"/>
      <c r="D63" s="318" t="s">
        <v>868</v>
      </c>
      <c r="E63" s="291">
        <v>776.75</v>
      </c>
      <c r="F63" s="306">
        <v>3107</v>
      </c>
      <c r="G63" s="293">
        <v>490</v>
      </c>
      <c r="H63" s="293">
        <v>0</v>
      </c>
      <c r="I63" s="293">
        <v>0</v>
      </c>
      <c r="J63" s="293">
        <v>10</v>
      </c>
      <c r="K63" s="293">
        <v>5</v>
      </c>
      <c r="L63" s="293">
        <v>0</v>
      </c>
      <c r="M63" s="293">
        <v>0</v>
      </c>
      <c r="N63" s="293">
        <f t="shared" si="59"/>
        <v>505</v>
      </c>
      <c r="O63" s="294">
        <f t="shared" si="60"/>
        <v>65.014483424525267</v>
      </c>
      <c r="P63" s="295">
        <f t="shared" si="61"/>
        <v>271.75</v>
      </c>
      <c r="Q63" s="293">
        <v>0</v>
      </c>
      <c r="R63" s="293">
        <v>0</v>
      </c>
      <c r="S63" s="293">
        <v>0</v>
      </c>
      <c r="T63" s="293">
        <v>0</v>
      </c>
      <c r="U63" s="293">
        <v>0</v>
      </c>
      <c r="V63" s="293">
        <v>0</v>
      </c>
      <c r="W63" s="293">
        <v>0</v>
      </c>
      <c r="X63" s="293">
        <f t="shared" si="62"/>
        <v>0</v>
      </c>
      <c r="Y63" s="293">
        <f t="shared" si="63"/>
        <v>0</v>
      </c>
      <c r="Z63" s="296">
        <f t="shared" si="64"/>
        <v>490</v>
      </c>
      <c r="AA63" s="297">
        <f t="shared" si="64"/>
        <v>0</v>
      </c>
      <c r="AB63" s="298">
        <f t="shared" si="64"/>
        <v>0</v>
      </c>
      <c r="AC63" s="298">
        <f t="shared" si="64"/>
        <v>10</v>
      </c>
      <c r="AD63" s="298">
        <f t="shared" si="64"/>
        <v>5</v>
      </c>
      <c r="AE63" s="298">
        <f t="shared" si="64"/>
        <v>0</v>
      </c>
      <c r="AF63" s="298">
        <f t="shared" si="64"/>
        <v>0</v>
      </c>
      <c r="AG63" s="298">
        <f t="shared" si="64"/>
        <v>505</v>
      </c>
      <c r="AH63" s="299">
        <f t="shared" si="43"/>
        <v>65.014483424525267</v>
      </c>
    </row>
    <row r="64" spans="1:36" x14ac:dyDescent="0.2">
      <c r="A64" s="507"/>
      <c r="B64" s="510"/>
      <c r="C64" s="510"/>
      <c r="D64" s="317" t="s">
        <v>869</v>
      </c>
      <c r="E64" s="291">
        <v>1865</v>
      </c>
      <c r="F64" s="306">
        <v>7460</v>
      </c>
      <c r="G64" s="293">
        <f>554*2</f>
        <v>1108</v>
      </c>
      <c r="H64" s="293">
        <v>41</v>
      </c>
      <c r="I64" s="293">
        <v>0</v>
      </c>
      <c r="J64" s="293">
        <v>25</v>
      </c>
      <c r="K64" s="293">
        <v>0</v>
      </c>
      <c r="L64" s="293">
        <v>0</v>
      </c>
      <c r="M64" s="293">
        <v>0</v>
      </c>
      <c r="N64" s="293">
        <f t="shared" si="59"/>
        <v>1174</v>
      </c>
      <c r="O64" s="294">
        <f t="shared" si="60"/>
        <v>62.949061662198389</v>
      </c>
      <c r="P64" s="295">
        <f t="shared" si="61"/>
        <v>691</v>
      </c>
      <c r="Q64" s="293">
        <v>0</v>
      </c>
      <c r="R64" s="293">
        <v>0</v>
      </c>
      <c r="S64" s="293">
        <v>0</v>
      </c>
      <c r="T64" s="293">
        <v>0</v>
      </c>
      <c r="U64" s="293">
        <v>0</v>
      </c>
      <c r="V64" s="293">
        <v>0</v>
      </c>
      <c r="W64" s="293">
        <v>0</v>
      </c>
      <c r="X64" s="293">
        <f t="shared" si="62"/>
        <v>0</v>
      </c>
      <c r="Y64" s="293">
        <f t="shared" si="63"/>
        <v>0</v>
      </c>
      <c r="Z64" s="296">
        <f t="shared" si="64"/>
        <v>1108</v>
      </c>
      <c r="AA64" s="297">
        <f t="shared" si="64"/>
        <v>41</v>
      </c>
      <c r="AB64" s="298">
        <f t="shared" si="64"/>
        <v>0</v>
      </c>
      <c r="AC64" s="298">
        <f t="shared" si="64"/>
        <v>25</v>
      </c>
      <c r="AD64" s="298">
        <f t="shared" si="64"/>
        <v>0</v>
      </c>
      <c r="AE64" s="298">
        <f t="shared" si="64"/>
        <v>0</v>
      </c>
      <c r="AF64" s="298">
        <f t="shared" si="64"/>
        <v>0</v>
      </c>
      <c r="AG64" s="298">
        <f t="shared" si="64"/>
        <v>1174</v>
      </c>
      <c r="AH64" s="299">
        <f t="shared" si="43"/>
        <v>62.949061662198389</v>
      </c>
    </row>
    <row r="65" spans="1:36" x14ac:dyDescent="0.2">
      <c r="A65" s="507"/>
      <c r="B65" s="510"/>
      <c r="C65" s="510"/>
      <c r="D65" s="318" t="s">
        <v>866</v>
      </c>
      <c r="E65" s="291">
        <v>2855</v>
      </c>
      <c r="F65" s="306">
        <v>11420</v>
      </c>
      <c r="G65" s="293">
        <v>1438</v>
      </c>
      <c r="H65" s="293">
        <v>416</v>
      </c>
      <c r="I65" s="293">
        <v>0</v>
      </c>
      <c r="J65" s="293">
        <v>30</v>
      </c>
      <c r="K65" s="293">
        <v>1</v>
      </c>
      <c r="L65" s="293">
        <v>0</v>
      </c>
      <c r="M65" s="293">
        <v>1</v>
      </c>
      <c r="N65" s="293">
        <f t="shared" si="59"/>
        <v>1886</v>
      </c>
      <c r="O65" s="294">
        <f t="shared" si="60"/>
        <v>66.059544658493877</v>
      </c>
      <c r="P65" s="295">
        <f t="shared" si="61"/>
        <v>969</v>
      </c>
      <c r="Q65" s="293">
        <v>0</v>
      </c>
      <c r="R65" s="293">
        <v>0</v>
      </c>
      <c r="S65" s="293">
        <v>0</v>
      </c>
      <c r="T65" s="293">
        <v>0</v>
      </c>
      <c r="U65" s="293">
        <v>0</v>
      </c>
      <c r="V65" s="293">
        <v>0</v>
      </c>
      <c r="W65" s="293">
        <v>0</v>
      </c>
      <c r="X65" s="293">
        <f t="shared" si="62"/>
        <v>0</v>
      </c>
      <c r="Y65" s="293">
        <f t="shared" si="63"/>
        <v>0</v>
      </c>
      <c r="Z65" s="296">
        <f t="shared" si="64"/>
        <v>1438</v>
      </c>
      <c r="AA65" s="297">
        <f t="shared" si="64"/>
        <v>416</v>
      </c>
      <c r="AB65" s="298">
        <f t="shared" si="64"/>
        <v>0</v>
      </c>
      <c r="AC65" s="298">
        <f t="shared" si="64"/>
        <v>30</v>
      </c>
      <c r="AD65" s="298">
        <f t="shared" si="64"/>
        <v>1</v>
      </c>
      <c r="AE65" s="298">
        <f t="shared" si="64"/>
        <v>0</v>
      </c>
      <c r="AF65" s="298">
        <f t="shared" si="64"/>
        <v>1</v>
      </c>
      <c r="AG65" s="298">
        <f t="shared" si="64"/>
        <v>1886</v>
      </c>
      <c r="AH65" s="299">
        <f t="shared" si="43"/>
        <v>66.059544658493877</v>
      </c>
    </row>
    <row r="66" spans="1:36" x14ac:dyDescent="0.2">
      <c r="A66" s="507"/>
      <c r="B66" s="510"/>
      <c r="C66" s="510"/>
      <c r="D66" s="317" t="s">
        <v>870</v>
      </c>
      <c r="E66" s="291">
        <v>2037.75</v>
      </c>
      <c r="F66" s="306">
        <v>8151</v>
      </c>
      <c r="G66" s="293">
        <v>1098</v>
      </c>
      <c r="H66" s="293">
        <v>199</v>
      </c>
      <c r="I66" s="293">
        <v>0</v>
      </c>
      <c r="J66" s="293">
        <v>10</v>
      </c>
      <c r="K66" s="293">
        <v>0</v>
      </c>
      <c r="L66" s="293">
        <v>0</v>
      </c>
      <c r="M66" s="293">
        <v>0</v>
      </c>
      <c r="N66" s="293">
        <f t="shared" si="59"/>
        <v>1307</v>
      </c>
      <c r="O66" s="294">
        <f t="shared" si="60"/>
        <v>64.139369402527308</v>
      </c>
      <c r="P66" s="295">
        <f t="shared" si="61"/>
        <v>730.75</v>
      </c>
      <c r="Q66" s="293">
        <v>0</v>
      </c>
      <c r="R66" s="293">
        <v>0</v>
      </c>
      <c r="S66" s="293">
        <v>0</v>
      </c>
      <c r="T66" s="293">
        <v>0</v>
      </c>
      <c r="U66" s="293">
        <v>0</v>
      </c>
      <c r="V66" s="293">
        <v>0</v>
      </c>
      <c r="W66" s="293">
        <v>0</v>
      </c>
      <c r="X66" s="293">
        <f t="shared" si="62"/>
        <v>0</v>
      </c>
      <c r="Y66" s="293">
        <f t="shared" si="63"/>
        <v>0</v>
      </c>
      <c r="Z66" s="296">
        <f t="shared" si="64"/>
        <v>1098</v>
      </c>
      <c r="AA66" s="297">
        <f t="shared" si="64"/>
        <v>199</v>
      </c>
      <c r="AB66" s="298">
        <f t="shared" si="64"/>
        <v>0</v>
      </c>
      <c r="AC66" s="298">
        <f t="shared" si="64"/>
        <v>10</v>
      </c>
      <c r="AD66" s="298">
        <f t="shared" si="64"/>
        <v>0</v>
      </c>
      <c r="AE66" s="298">
        <f t="shared" si="64"/>
        <v>0</v>
      </c>
      <c r="AF66" s="298">
        <f t="shared" si="64"/>
        <v>0</v>
      </c>
      <c r="AG66" s="298">
        <f t="shared" si="64"/>
        <v>1307</v>
      </c>
      <c r="AH66" s="299">
        <f t="shared" si="43"/>
        <v>64.139369402527308</v>
      </c>
    </row>
    <row r="67" spans="1:36" x14ac:dyDescent="0.2">
      <c r="A67" s="516"/>
      <c r="B67" s="512"/>
      <c r="C67" s="512"/>
      <c r="D67" s="302" t="s">
        <v>825</v>
      </c>
      <c r="E67" s="303">
        <f>SUM(E62:E66)</f>
        <v>8765.75</v>
      </c>
      <c r="F67" s="303">
        <f>SUM(F62:F66)</f>
        <v>35063</v>
      </c>
      <c r="G67" s="303">
        <f t="shared" ref="G67:AG67" si="65">SUM(G62:G66)</f>
        <v>4859</v>
      </c>
      <c r="H67" s="303">
        <f t="shared" si="65"/>
        <v>656</v>
      </c>
      <c r="I67" s="303">
        <f t="shared" si="65"/>
        <v>0</v>
      </c>
      <c r="J67" s="303">
        <f t="shared" si="65"/>
        <v>75</v>
      </c>
      <c r="K67" s="303">
        <f t="shared" si="65"/>
        <v>6</v>
      </c>
      <c r="L67" s="303">
        <f t="shared" si="65"/>
        <v>0</v>
      </c>
      <c r="M67" s="303">
        <f t="shared" si="65"/>
        <v>1</v>
      </c>
      <c r="N67" s="303">
        <f t="shared" si="65"/>
        <v>5597</v>
      </c>
      <c r="O67" s="303">
        <f t="shared" si="65"/>
        <v>317.04570787870932</v>
      </c>
      <c r="P67" s="303">
        <f t="shared" si="65"/>
        <v>3168.75</v>
      </c>
      <c r="Q67" s="303">
        <f t="shared" si="65"/>
        <v>0</v>
      </c>
      <c r="R67" s="303">
        <f t="shared" si="65"/>
        <v>0</v>
      </c>
      <c r="S67" s="303">
        <f t="shared" si="65"/>
        <v>0</v>
      </c>
      <c r="T67" s="303">
        <f t="shared" si="65"/>
        <v>0</v>
      </c>
      <c r="U67" s="303">
        <f t="shared" si="65"/>
        <v>0</v>
      </c>
      <c r="V67" s="303">
        <f t="shared" si="65"/>
        <v>0</v>
      </c>
      <c r="W67" s="303">
        <f t="shared" si="65"/>
        <v>0</v>
      </c>
      <c r="X67" s="303">
        <f t="shared" si="65"/>
        <v>0</v>
      </c>
      <c r="Y67" s="303">
        <f t="shared" si="65"/>
        <v>0</v>
      </c>
      <c r="Z67" s="303">
        <f t="shared" si="65"/>
        <v>4859</v>
      </c>
      <c r="AA67" s="303">
        <f t="shared" si="65"/>
        <v>656</v>
      </c>
      <c r="AB67" s="303">
        <f t="shared" si="65"/>
        <v>0</v>
      </c>
      <c r="AC67" s="303">
        <f t="shared" si="65"/>
        <v>75</v>
      </c>
      <c r="AD67" s="303">
        <f t="shared" si="65"/>
        <v>6</v>
      </c>
      <c r="AE67" s="303">
        <f t="shared" si="65"/>
        <v>0</v>
      </c>
      <c r="AF67" s="303">
        <f t="shared" si="65"/>
        <v>1</v>
      </c>
      <c r="AG67" s="303">
        <f t="shared" si="65"/>
        <v>5597</v>
      </c>
      <c r="AH67" s="305">
        <f t="shared" si="43"/>
        <v>63.850782876536513</v>
      </c>
      <c r="AJ67" s="267">
        <v>57.16</v>
      </c>
    </row>
    <row r="68" spans="1:36" x14ac:dyDescent="0.2">
      <c r="A68" s="517">
        <v>5</v>
      </c>
      <c r="B68" s="509" t="s">
        <v>871</v>
      </c>
      <c r="C68" s="518" t="s">
        <v>871</v>
      </c>
      <c r="D68" s="316" t="s">
        <v>872</v>
      </c>
      <c r="E68" s="291">
        <v>1821</v>
      </c>
      <c r="F68" s="291">
        <v>7284</v>
      </c>
      <c r="G68" s="293">
        <v>834</v>
      </c>
      <c r="H68" s="293">
        <v>435</v>
      </c>
      <c r="I68" s="293">
        <v>0</v>
      </c>
      <c r="J68" s="293">
        <v>0</v>
      </c>
      <c r="K68" s="293">
        <v>0</v>
      </c>
      <c r="L68" s="293">
        <v>0</v>
      </c>
      <c r="M68" s="293">
        <v>0</v>
      </c>
      <c r="N68" s="293">
        <f t="shared" ref="N68:N73" si="66">SUM(G68:M68)</f>
        <v>1269</v>
      </c>
      <c r="O68" s="294">
        <f t="shared" ref="O68:O73" si="67">N68/E68*100</f>
        <v>69.686985172981878</v>
      </c>
      <c r="P68" s="295">
        <f t="shared" ref="P68:P73" si="68">E68-N68</f>
        <v>552</v>
      </c>
      <c r="Q68" s="293">
        <v>0</v>
      </c>
      <c r="R68" s="293">
        <v>0</v>
      </c>
      <c r="S68" s="293">
        <v>0</v>
      </c>
      <c r="T68" s="293">
        <v>0</v>
      </c>
      <c r="U68" s="293">
        <v>0</v>
      </c>
      <c r="V68" s="293">
        <v>0</v>
      </c>
      <c r="W68" s="293">
        <v>0</v>
      </c>
      <c r="X68" s="293">
        <f t="shared" ref="X68:X73" si="69">Q68+R68+S68+T68+U68+V68+W68</f>
        <v>0</v>
      </c>
      <c r="Y68" s="293">
        <f t="shared" ref="Y68:Y73" si="70">X68/E68*100</f>
        <v>0</v>
      </c>
      <c r="Z68" s="296">
        <f t="shared" ref="Z68:AG73" si="71">G68+Q68</f>
        <v>834</v>
      </c>
      <c r="AA68" s="297">
        <f t="shared" si="71"/>
        <v>435</v>
      </c>
      <c r="AB68" s="298">
        <f t="shared" si="71"/>
        <v>0</v>
      </c>
      <c r="AC68" s="298">
        <f t="shared" si="71"/>
        <v>0</v>
      </c>
      <c r="AD68" s="298">
        <f t="shared" si="71"/>
        <v>0</v>
      </c>
      <c r="AE68" s="298">
        <f t="shared" si="71"/>
        <v>0</v>
      </c>
      <c r="AF68" s="298">
        <f t="shared" si="71"/>
        <v>0</v>
      </c>
      <c r="AG68" s="298">
        <f t="shared" si="71"/>
        <v>1269</v>
      </c>
      <c r="AH68" s="299">
        <f t="shared" si="43"/>
        <v>69.686985172981878</v>
      </c>
    </row>
    <row r="69" spans="1:36" x14ac:dyDescent="0.2">
      <c r="A69" s="507"/>
      <c r="B69" s="510"/>
      <c r="C69" s="519"/>
      <c r="D69" s="315" t="s">
        <v>871</v>
      </c>
      <c r="E69" s="291">
        <v>2147.25</v>
      </c>
      <c r="F69" s="291">
        <v>8589</v>
      </c>
      <c r="G69" s="293">
        <v>1152</v>
      </c>
      <c r="H69" s="293">
        <v>421</v>
      </c>
      <c r="I69" s="293">
        <v>0</v>
      </c>
      <c r="J69" s="293">
        <v>0</v>
      </c>
      <c r="K69" s="293">
        <v>0</v>
      </c>
      <c r="L69" s="293">
        <v>0</v>
      </c>
      <c r="M69" s="293">
        <v>0</v>
      </c>
      <c r="N69" s="293">
        <f t="shared" si="66"/>
        <v>1573</v>
      </c>
      <c r="O69" s="294">
        <f t="shared" si="67"/>
        <v>73.256490860402849</v>
      </c>
      <c r="P69" s="295">
        <f t="shared" si="68"/>
        <v>574.25</v>
      </c>
      <c r="Q69" s="293">
        <v>0</v>
      </c>
      <c r="R69" s="293">
        <v>0</v>
      </c>
      <c r="S69" s="293">
        <v>0</v>
      </c>
      <c r="T69" s="293">
        <v>0</v>
      </c>
      <c r="U69" s="293">
        <v>0</v>
      </c>
      <c r="V69" s="293">
        <v>0</v>
      </c>
      <c r="W69" s="293">
        <v>0</v>
      </c>
      <c r="X69" s="293">
        <f t="shared" si="69"/>
        <v>0</v>
      </c>
      <c r="Y69" s="293">
        <f t="shared" si="70"/>
        <v>0</v>
      </c>
      <c r="Z69" s="296">
        <f t="shared" si="71"/>
        <v>1152</v>
      </c>
      <c r="AA69" s="297">
        <f t="shared" si="71"/>
        <v>421</v>
      </c>
      <c r="AB69" s="298">
        <f t="shared" si="71"/>
        <v>0</v>
      </c>
      <c r="AC69" s="298">
        <f t="shared" si="71"/>
        <v>0</v>
      </c>
      <c r="AD69" s="298">
        <f t="shared" si="71"/>
        <v>0</v>
      </c>
      <c r="AE69" s="298">
        <f t="shared" si="71"/>
        <v>0</v>
      </c>
      <c r="AF69" s="298">
        <f t="shared" si="71"/>
        <v>0</v>
      </c>
      <c r="AG69" s="298">
        <f t="shared" si="71"/>
        <v>1573</v>
      </c>
      <c r="AH69" s="299">
        <f>AG69/E69*100</f>
        <v>73.256490860402849</v>
      </c>
    </row>
    <row r="70" spans="1:36" x14ac:dyDescent="0.2">
      <c r="A70" s="507"/>
      <c r="B70" s="510"/>
      <c r="C70" s="519"/>
      <c r="D70" s="316" t="s">
        <v>873</v>
      </c>
      <c r="E70" s="291">
        <v>2140.5</v>
      </c>
      <c r="F70" s="291">
        <v>8562</v>
      </c>
      <c r="G70" s="293">
        <v>1202</v>
      </c>
      <c r="H70" s="293">
        <v>268</v>
      </c>
      <c r="I70" s="293">
        <v>0</v>
      </c>
      <c r="J70" s="293">
        <v>0</v>
      </c>
      <c r="K70" s="293">
        <v>0</v>
      </c>
      <c r="L70" s="293">
        <v>0</v>
      </c>
      <c r="M70" s="293">
        <v>0</v>
      </c>
      <c r="N70" s="293">
        <f t="shared" si="66"/>
        <v>1470</v>
      </c>
      <c r="O70" s="294">
        <f t="shared" si="67"/>
        <v>68.675543097407143</v>
      </c>
      <c r="P70" s="295">
        <f t="shared" si="68"/>
        <v>670.5</v>
      </c>
      <c r="Q70" s="293">
        <v>0</v>
      </c>
      <c r="R70" s="293">
        <v>0</v>
      </c>
      <c r="S70" s="293">
        <v>0</v>
      </c>
      <c r="T70" s="293">
        <v>0</v>
      </c>
      <c r="U70" s="293">
        <v>0</v>
      </c>
      <c r="V70" s="293">
        <v>0</v>
      </c>
      <c r="W70" s="293">
        <v>0</v>
      </c>
      <c r="X70" s="293">
        <f t="shared" si="69"/>
        <v>0</v>
      </c>
      <c r="Y70" s="293">
        <f t="shared" si="70"/>
        <v>0</v>
      </c>
      <c r="Z70" s="296">
        <f t="shared" si="71"/>
        <v>1202</v>
      </c>
      <c r="AA70" s="297">
        <f t="shared" si="71"/>
        <v>268</v>
      </c>
      <c r="AB70" s="298">
        <f t="shared" si="71"/>
        <v>0</v>
      </c>
      <c r="AC70" s="298">
        <f t="shared" si="71"/>
        <v>0</v>
      </c>
      <c r="AD70" s="298">
        <f t="shared" si="71"/>
        <v>0</v>
      </c>
      <c r="AE70" s="298">
        <f t="shared" si="71"/>
        <v>0</v>
      </c>
      <c r="AF70" s="298">
        <f t="shared" si="71"/>
        <v>0</v>
      </c>
      <c r="AG70" s="298">
        <f t="shared" si="71"/>
        <v>1470</v>
      </c>
      <c r="AH70" s="299">
        <f t="shared" si="43"/>
        <v>68.675543097407143</v>
      </c>
    </row>
    <row r="71" spans="1:36" x14ac:dyDescent="0.2">
      <c r="A71" s="507"/>
      <c r="B71" s="510"/>
      <c r="C71" s="519"/>
      <c r="D71" s="315" t="s">
        <v>874</v>
      </c>
      <c r="E71" s="291">
        <v>2477.75</v>
      </c>
      <c r="F71" s="291">
        <v>9911</v>
      </c>
      <c r="G71" s="293">
        <f>832*2</f>
        <v>1664</v>
      </c>
      <c r="H71" s="293">
        <v>0</v>
      </c>
      <c r="I71" s="293">
        <v>0</v>
      </c>
      <c r="J71" s="293">
        <v>100</v>
      </c>
      <c r="K71" s="293">
        <v>0</v>
      </c>
      <c r="L71" s="293">
        <v>0</v>
      </c>
      <c r="M71" s="293">
        <v>0</v>
      </c>
      <c r="N71" s="293">
        <f t="shared" si="66"/>
        <v>1764</v>
      </c>
      <c r="O71" s="294">
        <f t="shared" si="67"/>
        <v>71.193623246897388</v>
      </c>
      <c r="P71" s="295">
        <f t="shared" si="68"/>
        <v>713.75</v>
      </c>
      <c r="Q71" s="293">
        <v>0</v>
      </c>
      <c r="R71" s="293">
        <v>0</v>
      </c>
      <c r="S71" s="293">
        <v>0</v>
      </c>
      <c r="T71" s="293">
        <v>0</v>
      </c>
      <c r="U71" s="293">
        <v>0</v>
      </c>
      <c r="V71" s="293">
        <v>0</v>
      </c>
      <c r="W71" s="293">
        <v>0</v>
      </c>
      <c r="X71" s="293">
        <f t="shared" si="69"/>
        <v>0</v>
      </c>
      <c r="Y71" s="293">
        <f t="shared" si="70"/>
        <v>0</v>
      </c>
      <c r="Z71" s="296">
        <f t="shared" si="71"/>
        <v>1664</v>
      </c>
      <c r="AA71" s="297">
        <f t="shared" si="71"/>
        <v>0</v>
      </c>
      <c r="AB71" s="298">
        <f t="shared" si="71"/>
        <v>0</v>
      </c>
      <c r="AC71" s="298">
        <f t="shared" si="71"/>
        <v>100</v>
      </c>
      <c r="AD71" s="298">
        <f t="shared" si="71"/>
        <v>0</v>
      </c>
      <c r="AE71" s="298">
        <f t="shared" si="71"/>
        <v>0</v>
      </c>
      <c r="AF71" s="298">
        <f t="shared" si="71"/>
        <v>0</v>
      </c>
      <c r="AG71" s="298">
        <f t="shared" si="71"/>
        <v>1764</v>
      </c>
      <c r="AH71" s="299">
        <f t="shared" si="43"/>
        <v>71.193623246897388</v>
      </c>
    </row>
    <row r="72" spans="1:36" x14ac:dyDescent="0.2">
      <c r="A72" s="507"/>
      <c r="B72" s="510"/>
      <c r="C72" s="519"/>
      <c r="D72" s="315" t="s">
        <v>875</v>
      </c>
      <c r="E72" s="291">
        <v>876.25</v>
      </c>
      <c r="F72" s="291">
        <v>3505</v>
      </c>
      <c r="G72" s="293">
        <f>272*2</f>
        <v>544</v>
      </c>
      <c r="H72" s="293">
        <v>0</v>
      </c>
      <c r="I72" s="293">
        <v>0</v>
      </c>
      <c r="J72" s="293">
        <v>70</v>
      </c>
      <c r="K72" s="293">
        <v>0</v>
      </c>
      <c r="L72" s="293">
        <v>0</v>
      </c>
      <c r="M72" s="293">
        <v>0</v>
      </c>
      <c r="N72" s="293">
        <f t="shared" si="66"/>
        <v>614</v>
      </c>
      <c r="O72" s="294">
        <f t="shared" si="67"/>
        <v>70.071326676176895</v>
      </c>
      <c r="P72" s="295">
        <f t="shared" si="68"/>
        <v>262.25</v>
      </c>
      <c r="Q72" s="293">
        <v>0</v>
      </c>
      <c r="R72" s="293">
        <v>0</v>
      </c>
      <c r="S72" s="293">
        <v>0</v>
      </c>
      <c r="T72" s="293">
        <v>0</v>
      </c>
      <c r="U72" s="293">
        <v>0</v>
      </c>
      <c r="V72" s="293">
        <v>0</v>
      </c>
      <c r="W72" s="293">
        <v>0</v>
      </c>
      <c r="X72" s="293">
        <f t="shared" si="69"/>
        <v>0</v>
      </c>
      <c r="Y72" s="293">
        <f t="shared" si="70"/>
        <v>0</v>
      </c>
      <c r="Z72" s="296">
        <f t="shared" si="71"/>
        <v>544</v>
      </c>
      <c r="AA72" s="297">
        <f t="shared" si="71"/>
        <v>0</v>
      </c>
      <c r="AB72" s="298">
        <f t="shared" si="71"/>
        <v>0</v>
      </c>
      <c r="AC72" s="298">
        <f t="shared" si="71"/>
        <v>70</v>
      </c>
      <c r="AD72" s="298">
        <f t="shared" si="71"/>
        <v>0</v>
      </c>
      <c r="AE72" s="298">
        <f t="shared" si="71"/>
        <v>0</v>
      </c>
      <c r="AF72" s="298">
        <f t="shared" si="71"/>
        <v>0</v>
      </c>
      <c r="AG72" s="298">
        <f t="shared" si="71"/>
        <v>614</v>
      </c>
      <c r="AH72" s="299">
        <f t="shared" si="43"/>
        <v>70.071326676176895</v>
      </c>
    </row>
    <row r="73" spans="1:36" x14ac:dyDescent="0.2">
      <c r="A73" s="507"/>
      <c r="B73" s="510"/>
      <c r="C73" s="519"/>
      <c r="D73" s="318" t="s">
        <v>876</v>
      </c>
      <c r="E73" s="291">
        <v>911.75</v>
      </c>
      <c r="F73" s="291">
        <v>3647</v>
      </c>
      <c r="G73" s="293">
        <v>394</v>
      </c>
      <c r="H73" s="293">
        <v>257</v>
      </c>
      <c r="I73" s="293">
        <v>0</v>
      </c>
      <c r="J73" s="293">
        <v>0</v>
      </c>
      <c r="K73" s="293">
        <v>0</v>
      </c>
      <c r="L73" s="293">
        <v>0</v>
      </c>
      <c r="M73" s="293">
        <v>0</v>
      </c>
      <c r="N73" s="293">
        <f t="shared" si="66"/>
        <v>651</v>
      </c>
      <c r="O73" s="294">
        <f t="shared" si="67"/>
        <v>71.401151631477916</v>
      </c>
      <c r="P73" s="295">
        <f t="shared" si="68"/>
        <v>260.75</v>
      </c>
      <c r="Q73" s="293">
        <v>0</v>
      </c>
      <c r="R73" s="293">
        <v>0</v>
      </c>
      <c r="S73" s="293">
        <v>0</v>
      </c>
      <c r="T73" s="293">
        <v>0</v>
      </c>
      <c r="U73" s="293">
        <v>0</v>
      </c>
      <c r="V73" s="293">
        <v>0</v>
      </c>
      <c r="W73" s="293">
        <v>0</v>
      </c>
      <c r="X73" s="293">
        <f t="shared" si="69"/>
        <v>0</v>
      </c>
      <c r="Y73" s="293">
        <f t="shared" si="70"/>
        <v>0</v>
      </c>
      <c r="Z73" s="296">
        <f t="shared" si="71"/>
        <v>394</v>
      </c>
      <c r="AA73" s="297">
        <f t="shared" si="71"/>
        <v>257</v>
      </c>
      <c r="AB73" s="298">
        <f t="shared" si="71"/>
        <v>0</v>
      </c>
      <c r="AC73" s="298">
        <f t="shared" si="71"/>
        <v>0</v>
      </c>
      <c r="AD73" s="298">
        <f t="shared" si="71"/>
        <v>0</v>
      </c>
      <c r="AE73" s="298">
        <f t="shared" si="71"/>
        <v>0</v>
      </c>
      <c r="AF73" s="298">
        <f t="shared" si="71"/>
        <v>0</v>
      </c>
      <c r="AG73" s="298">
        <f t="shared" si="71"/>
        <v>651</v>
      </c>
      <c r="AH73" s="299">
        <f t="shared" si="43"/>
        <v>71.401151631477916</v>
      </c>
    </row>
    <row r="74" spans="1:36" x14ac:dyDescent="0.2">
      <c r="A74" s="507"/>
      <c r="B74" s="510"/>
      <c r="C74" s="520"/>
      <c r="D74" s="302" t="s">
        <v>825</v>
      </c>
      <c r="E74" s="303">
        <f>SUM(E68:E73)</f>
        <v>10374.5</v>
      </c>
      <c r="F74" s="303">
        <f>SUM(F68:F73)</f>
        <v>41498</v>
      </c>
      <c r="G74" s="303">
        <f t="shared" ref="G74:AG74" si="72">SUM(G68:G73)</f>
        <v>5790</v>
      </c>
      <c r="H74" s="303">
        <f t="shared" si="72"/>
        <v>1381</v>
      </c>
      <c r="I74" s="303">
        <f t="shared" si="72"/>
        <v>0</v>
      </c>
      <c r="J74" s="303">
        <f t="shared" si="72"/>
        <v>170</v>
      </c>
      <c r="K74" s="303">
        <f t="shared" si="72"/>
        <v>0</v>
      </c>
      <c r="L74" s="303">
        <f t="shared" si="72"/>
        <v>0</v>
      </c>
      <c r="M74" s="303">
        <f t="shared" si="72"/>
        <v>0</v>
      </c>
      <c r="N74" s="303">
        <f t="shared" si="72"/>
        <v>7341</v>
      </c>
      <c r="O74" s="303">
        <f t="shared" si="72"/>
        <v>424.28512068534405</v>
      </c>
      <c r="P74" s="303">
        <f t="shared" si="72"/>
        <v>3033.5</v>
      </c>
      <c r="Q74" s="303">
        <f t="shared" si="72"/>
        <v>0</v>
      </c>
      <c r="R74" s="303">
        <f t="shared" si="72"/>
        <v>0</v>
      </c>
      <c r="S74" s="303">
        <f t="shared" si="72"/>
        <v>0</v>
      </c>
      <c r="T74" s="303">
        <f t="shared" si="72"/>
        <v>0</v>
      </c>
      <c r="U74" s="303">
        <f t="shared" si="72"/>
        <v>0</v>
      </c>
      <c r="V74" s="303">
        <f t="shared" si="72"/>
        <v>0</v>
      </c>
      <c r="W74" s="303">
        <f t="shared" si="72"/>
        <v>0</v>
      </c>
      <c r="X74" s="303">
        <f t="shared" si="72"/>
        <v>0</v>
      </c>
      <c r="Y74" s="303">
        <f t="shared" si="72"/>
        <v>0</v>
      </c>
      <c r="Z74" s="303">
        <f t="shared" si="72"/>
        <v>5790</v>
      </c>
      <c r="AA74" s="303">
        <f t="shared" si="72"/>
        <v>1381</v>
      </c>
      <c r="AB74" s="303">
        <f t="shared" si="72"/>
        <v>0</v>
      </c>
      <c r="AC74" s="303">
        <f t="shared" si="72"/>
        <v>170</v>
      </c>
      <c r="AD74" s="303">
        <f t="shared" si="72"/>
        <v>0</v>
      </c>
      <c r="AE74" s="303">
        <f t="shared" si="72"/>
        <v>0</v>
      </c>
      <c r="AF74" s="303">
        <f t="shared" si="72"/>
        <v>0</v>
      </c>
      <c r="AG74" s="303">
        <f t="shared" si="72"/>
        <v>7341</v>
      </c>
      <c r="AH74" s="305">
        <f t="shared" si="43"/>
        <v>70.760036628271237</v>
      </c>
      <c r="AJ74" s="267">
        <v>76.319999999999993</v>
      </c>
    </row>
    <row r="75" spans="1:36" x14ac:dyDescent="0.2">
      <c r="A75" s="507"/>
      <c r="B75" s="510"/>
      <c r="C75" s="509" t="s">
        <v>877</v>
      </c>
      <c r="D75" s="317" t="s">
        <v>878</v>
      </c>
      <c r="E75" s="291">
        <v>2332.75</v>
      </c>
      <c r="F75" s="291">
        <v>9331</v>
      </c>
      <c r="G75" s="293">
        <v>1048</v>
      </c>
      <c r="H75" s="293">
        <v>771</v>
      </c>
      <c r="I75" s="293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f t="shared" ref="N75:N80" si="73">SUM(G75:M75)</f>
        <v>1819</v>
      </c>
      <c r="O75" s="294">
        <f t="shared" ref="O75:O80" si="74">N75/E75*100</f>
        <v>77.97663701639695</v>
      </c>
      <c r="P75" s="295">
        <f t="shared" ref="P75:P80" si="75">E75-N75</f>
        <v>513.75</v>
      </c>
      <c r="Q75" s="293">
        <v>0</v>
      </c>
      <c r="R75" s="293">
        <v>0</v>
      </c>
      <c r="S75" s="293">
        <v>0</v>
      </c>
      <c r="T75" s="293">
        <v>0</v>
      </c>
      <c r="U75" s="293">
        <v>0</v>
      </c>
      <c r="V75" s="293">
        <v>0</v>
      </c>
      <c r="W75" s="293">
        <v>0</v>
      </c>
      <c r="X75" s="293">
        <f t="shared" ref="X75:X80" si="76">Q75+R75+S75+T75+U75+V75+W75</f>
        <v>0</v>
      </c>
      <c r="Y75" s="293">
        <f t="shared" ref="Y75:Y80" si="77">X75/E75*100</f>
        <v>0</v>
      </c>
      <c r="Z75" s="296">
        <f t="shared" ref="Z75:AG80" si="78">G75+Q75</f>
        <v>1048</v>
      </c>
      <c r="AA75" s="297">
        <f t="shared" si="78"/>
        <v>771</v>
      </c>
      <c r="AB75" s="298">
        <f t="shared" si="78"/>
        <v>0</v>
      </c>
      <c r="AC75" s="298">
        <f t="shared" si="78"/>
        <v>0</v>
      </c>
      <c r="AD75" s="298">
        <f t="shared" si="78"/>
        <v>0</v>
      </c>
      <c r="AE75" s="298">
        <f t="shared" si="78"/>
        <v>0</v>
      </c>
      <c r="AF75" s="298">
        <f t="shared" si="78"/>
        <v>0</v>
      </c>
      <c r="AG75" s="298">
        <f t="shared" si="78"/>
        <v>1819</v>
      </c>
      <c r="AH75" s="299">
        <f t="shared" si="43"/>
        <v>77.97663701639695</v>
      </c>
    </row>
    <row r="76" spans="1:36" x14ac:dyDescent="0.2">
      <c r="A76" s="507"/>
      <c r="B76" s="510"/>
      <c r="C76" s="510"/>
      <c r="D76" s="318" t="s">
        <v>877</v>
      </c>
      <c r="E76" s="291">
        <v>1218.25</v>
      </c>
      <c r="F76" s="291">
        <v>4873</v>
      </c>
      <c r="G76" s="293">
        <v>826</v>
      </c>
      <c r="H76" s="293">
        <v>0</v>
      </c>
      <c r="I76" s="293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f t="shared" si="73"/>
        <v>826</v>
      </c>
      <c r="O76" s="294">
        <f t="shared" si="74"/>
        <v>67.802175251385194</v>
      </c>
      <c r="P76" s="295">
        <f t="shared" si="75"/>
        <v>392.25</v>
      </c>
      <c r="Q76" s="293">
        <v>0</v>
      </c>
      <c r="R76" s="293">
        <v>0</v>
      </c>
      <c r="S76" s="293">
        <v>0</v>
      </c>
      <c r="T76" s="293">
        <v>0</v>
      </c>
      <c r="U76" s="293">
        <v>0</v>
      </c>
      <c r="V76" s="293">
        <v>0</v>
      </c>
      <c r="W76" s="293">
        <v>0</v>
      </c>
      <c r="X76" s="293">
        <f t="shared" si="76"/>
        <v>0</v>
      </c>
      <c r="Y76" s="293">
        <f t="shared" si="77"/>
        <v>0</v>
      </c>
      <c r="Z76" s="296">
        <f t="shared" si="78"/>
        <v>826</v>
      </c>
      <c r="AA76" s="297">
        <f t="shared" si="78"/>
        <v>0</v>
      </c>
      <c r="AB76" s="298">
        <f t="shared" si="78"/>
        <v>0</v>
      </c>
      <c r="AC76" s="298">
        <f t="shared" si="78"/>
        <v>0</v>
      </c>
      <c r="AD76" s="298">
        <f t="shared" si="78"/>
        <v>0</v>
      </c>
      <c r="AE76" s="298">
        <f t="shared" si="78"/>
        <v>0</v>
      </c>
      <c r="AF76" s="298">
        <f t="shared" si="78"/>
        <v>0</v>
      </c>
      <c r="AG76" s="298">
        <f t="shared" si="78"/>
        <v>826</v>
      </c>
      <c r="AH76" s="299">
        <f t="shared" si="43"/>
        <v>67.802175251385194</v>
      </c>
    </row>
    <row r="77" spans="1:36" x14ac:dyDescent="0.2">
      <c r="A77" s="507"/>
      <c r="B77" s="510"/>
      <c r="C77" s="510"/>
      <c r="D77" s="317" t="s">
        <v>879</v>
      </c>
      <c r="E77" s="291">
        <v>1195.5</v>
      </c>
      <c r="F77" s="291">
        <v>4782</v>
      </c>
      <c r="G77" s="293">
        <v>776</v>
      </c>
      <c r="H77" s="293">
        <v>0</v>
      </c>
      <c r="I77" s="293">
        <v>0</v>
      </c>
      <c r="J77" s="293">
        <v>0</v>
      </c>
      <c r="K77" s="293">
        <v>0</v>
      </c>
      <c r="L77" s="293">
        <v>0</v>
      </c>
      <c r="M77" s="293">
        <v>0</v>
      </c>
      <c r="N77" s="293">
        <f t="shared" si="73"/>
        <v>776</v>
      </c>
      <c r="O77" s="294">
        <f t="shared" si="74"/>
        <v>64.910079464659148</v>
      </c>
      <c r="P77" s="295">
        <f t="shared" si="75"/>
        <v>419.5</v>
      </c>
      <c r="Q77" s="293">
        <v>0</v>
      </c>
      <c r="R77" s="293">
        <v>0</v>
      </c>
      <c r="S77" s="293">
        <v>0</v>
      </c>
      <c r="T77" s="293">
        <v>0</v>
      </c>
      <c r="U77" s="293">
        <v>0</v>
      </c>
      <c r="V77" s="293">
        <v>0</v>
      </c>
      <c r="W77" s="293">
        <v>0</v>
      </c>
      <c r="X77" s="293">
        <f t="shared" si="76"/>
        <v>0</v>
      </c>
      <c r="Y77" s="293">
        <f t="shared" si="77"/>
        <v>0</v>
      </c>
      <c r="Z77" s="296">
        <f t="shared" si="78"/>
        <v>776</v>
      </c>
      <c r="AA77" s="297">
        <f t="shared" si="78"/>
        <v>0</v>
      </c>
      <c r="AB77" s="298">
        <f t="shared" si="78"/>
        <v>0</v>
      </c>
      <c r="AC77" s="298">
        <f t="shared" si="78"/>
        <v>0</v>
      </c>
      <c r="AD77" s="298">
        <f t="shared" si="78"/>
        <v>0</v>
      </c>
      <c r="AE77" s="298">
        <f t="shared" si="78"/>
        <v>0</v>
      </c>
      <c r="AF77" s="298">
        <f t="shared" si="78"/>
        <v>0</v>
      </c>
      <c r="AG77" s="298">
        <f t="shared" si="78"/>
        <v>776</v>
      </c>
      <c r="AH77" s="299">
        <f t="shared" si="43"/>
        <v>64.910079464659148</v>
      </c>
    </row>
    <row r="78" spans="1:36" x14ac:dyDescent="0.2">
      <c r="A78" s="507"/>
      <c r="B78" s="510"/>
      <c r="C78" s="510"/>
      <c r="D78" s="318" t="s">
        <v>880</v>
      </c>
      <c r="E78" s="291">
        <v>1465.25</v>
      </c>
      <c r="F78" s="291">
        <v>5861</v>
      </c>
      <c r="G78" s="293">
        <v>789</v>
      </c>
      <c r="H78" s="293">
        <v>360</v>
      </c>
      <c r="I78" s="293">
        <v>0</v>
      </c>
      <c r="J78" s="293">
        <v>0</v>
      </c>
      <c r="K78" s="293">
        <v>0</v>
      </c>
      <c r="L78" s="293">
        <v>0</v>
      </c>
      <c r="M78" s="293">
        <v>0</v>
      </c>
      <c r="N78" s="293">
        <f t="shared" si="73"/>
        <v>1149</v>
      </c>
      <c r="O78" s="294">
        <f t="shared" si="74"/>
        <v>78.416652448387651</v>
      </c>
      <c r="P78" s="295">
        <f t="shared" si="75"/>
        <v>316.25</v>
      </c>
      <c r="Q78" s="293">
        <v>0</v>
      </c>
      <c r="R78" s="293">
        <v>0</v>
      </c>
      <c r="S78" s="293">
        <v>0</v>
      </c>
      <c r="T78" s="293">
        <v>0</v>
      </c>
      <c r="U78" s="293">
        <v>0</v>
      </c>
      <c r="V78" s="293">
        <v>0</v>
      </c>
      <c r="W78" s="293">
        <v>0</v>
      </c>
      <c r="X78" s="293">
        <f t="shared" si="76"/>
        <v>0</v>
      </c>
      <c r="Y78" s="293">
        <f t="shared" si="77"/>
        <v>0</v>
      </c>
      <c r="Z78" s="296">
        <f t="shared" si="78"/>
        <v>789</v>
      </c>
      <c r="AA78" s="297">
        <f t="shared" si="78"/>
        <v>360</v>
      </c>
      <c r="AB78" s="298">
        <f t="shared" si="78"/>
        <v>0</v>
      </c>
      <c r="AC78" s="298">
        <f t="shared" si="78"/>
        <v>0</v>
      </c>
      <c r="AD78" s="298">
        <f t="shared" si="78"/>
        <v>0</v>
      </c>
      <c r="AE78" s="298">
        <f t="shared" si="78"/>
        <v>0</v>
      </c>
      <c r="AF78" s="298">
        <f t="shared" si="78"/>
        <v>0</v>
      </c>
      <c r="AG78" s="298">
        <f t="shared" si="78"/>
        <v>1149</v>
      </c>
      <c r="AH78" s="299">
        <f t="shared" si="43"/>
        <v>78.416652448387651</v>
      </c>
    </row>
    <row r="79" spans="1:36" x14ac:dyDescent="0.2">
      <c r="A79" s="507"/>
      <c r="B79" s="510"/>
      <c r="C79" s="510"/>
      <c r="D79" s="317" t="s">
        <v>881</v>
      </c>
      <c r="E79" s="291">
        <v>797</v>
      </c>
      <c r="F79" s="291">
        <v>3188</v>
      </c>
      <c r="G79" s="293">
        <v>478</v>
      </c>
      <c r="H79" s="293">
        <v>208</v>
      </c>
      <c r="I79" s="293">
        <v>0</v>
      </c>
      <c r="J79" s="293">
        <v>0</v>
      </c>
      <c r="K79" s="293">
        <v>0</v>
      </c>
      <c r="L79" s="293">
        <v>0</v>
      </c>
      <c r="M79" s="293">
        <v>0</v>
      </c>
      <c r="N79" s="293">
        <f t="shared" si="73"/>
        <v>686</v>
      </c>
      <c r="O79" s="294">
        <f t="shared" si="74"/>
        <v>86.072772898368882</v>
      </c>
      <c r="P79" s="295">
        <f t="shared" si="75"/>
        <v>111</v>
      </c>
      <c r="Q79" s="293">
        <v>0</v>
      </c>
      <c r="R79" s="293">
        <v>0</v>
      </c>
      <c r="S79" s="293">
        <v>0</v>
      </c>
      <c r="T79" s="293">
        <v>0</v>
      </c>
      <c r="U79" s="293">
        <v>0</v>
      </c>
      <c r="V79" s="293">
        <v>0</v>
      </c>
      <c r="W79" s="293">
        <v>0</v>
      </c>
      <c r="X79" s="293">
        <f t="shared" si="76"/>
        <v>0</v>
      </c>
      <c r="Y79" s="293">
        <f t="shared" si="77"/>
        <v>0</v>
      </c>
      <c r="Z79" s="296">
        <f t="shared" si="78"/>
        <v>478</v>
      </c>
      <c r="AA79" s="297">
        <f t="shared" si="78"/>
        <v>208</v>
      </c>
      <c r="AB79" s="298">
        <f t="shared" si="78"/>
        <v>0</v>
      </c>
      <c r="AC79" s="298">
        <f t="shared" si="78"/>
        <v>0</v>
      </c>
      <c r="AD79" s="298">
        <f t="shared" si="78"/>
        <v>0</v>
      </c>
      <c r="AE79" s="298">
        <f t="shared" si="78"/>
        <v>0</v>
      </c>
      <c r="AF79" s="298">
        <f t="shared" si="78"/>
        <v>0</v>
      </c>
      <c r="AG79" s="298">
        <f t="shared" si="78"/>
        <v>686</v>
      </c>
      <c r="AH79" s="299">
        <f t="shared" si="43"/>
        <v>86.072772898368882</v>
      </c>
    </row>
    <row r="80" spans="1:36" x14ac:dyDescent="0.2">
      <c r="A80" s="507"/>
      <c r="B80" s="510"/>
      <c r="C80" s="510"/>
      <c r="D80" s="318" t="s">
        <v>882</v>
      </c>
      <c r="E80" s="291">
        <v>1615.25</v>
      </c>
      <c r="F80" s="291">
        <v>6461</v>
      </c>
      <c r="G80" s="293">
        <v>755</v>
      </c>
      <c r="H80" s="293">
        <v>265</v>
      </c>
      <c r="I80" s="293">
        <v>0</v>
      </c>
      <c r="J80" s="293">
        <v>0</v>
      </c>
      <c r="K80" s="293">
        <v>0</v>
      </c>
      <c r="L80" s="293">
        <v>0</v>
      </c>
      <c r="M80" s="293">
        <v>0</v>
      </c>
      <c r="N80" s="293">
        <f t="shared" si="73"/>
        <v>1020</v>
      </c>
      <c r="O80" s="294">
        <f t="shared" si="74"/>
        <v>63.148119486147657</v>
      </c>
      <c r="P80" s="295">
        <f t="shared" si="75"/>
        <v>595.25</v>
      </c>
      <c r="Q80" s="293">
        <v>0</v>
      </c>
      <c r="R80" s="293">
        <v>0</v>
      </c>
      <c r="S80" s="293">
        <v>0</v>
      </c>
      <c r="T80" s="293">
        <v>0</v>
      </c>
      <c r="U80" s="293">
        <v>0</v>
      </c>
      <c r="V80" s="293">
        <v>0</v>
      </c>
      <c r="W80" s="293">
        <v>0</v>
      </c>
      <c r="X80" s="293">
        <f t="shared" si="76"/>
        <v>0</v>
      </c>
      <c r="Y80" s="293">
        <f t="shared" si="77"/>
        <v>0</v>
      </c>
      <c r="Z80" s="296">
        <f t="shared" si="78"/>
        <v>755</v>
      </c>
      <c r="AA80" s="297">
        <f t="shared" si="78"/>
        <v>265</v>
      </c>
      <c r="AB80" s="298">
        <f t="shared" si="78"/>
        <v>0</v>
      </c>
      <c r="AC80" s="298">
        <f t="shared" si="78"/>
        <v>0</v>
      </c>
      <c r="AD80" s="298">
        <f t="shared" si="78"/>
        <v>0</v>
      </c>
      <c r="AE80" s="298">
        <f t="shared" si="78"/>
        <v>0</v>
      </c>
      <c r="AF80" s="298">
        <f t="shared" si="78"/>
        <v>0</v>
      </c>
      <c r="AG80" s="298">
        <f t="shared" si="78"/>
        <v>1020</v>
      </c>
      <c r="AH80" s="299">
        <f t="shared" si="43"/>
        <v>63.148119486147657</v>
      </c>
    </row>
    <row r="81" spans="1:36" x14ac:dyDescent="0.2">
      <c r="A81" s="516"/>
      <c r="B81" s="512"/>
      <c r="C81" s="512"/>
      <c r="D81" s="302" t="s">
        <v>825</v>
      </c>
      <c r="E81" s="303">
        <f>SUM(E75:E80)</f>
        <v>8624</v>
      </c>
      <c r="F81" s="303">
        <f>SUM(F75:F80)</f>
        <v>34496</v>
      </c>
      <c r="G81" s="303">
        <f t="shared" ref="G81:AG81" si="79">SUM(G75:G80)</f>
        <v>4672</v>
      </c>
      <c r="H81" s="303">
        <f t="shared" si="79"/>
        <v>1604</v>
      </c>
      <c r="I81" s="303">
        <f t="shared" si="79"/>
        <v>0</v>
      </c>
      <c r="J81" s="303">
        <f t="shared" si="79"/>
        <v>0</v>
      </c>
      <c r="K81" s="303">
        <f t="shared" si="79"/>
        <v>0</v>
      </c>
      <c r="L81" s="303">
        <f t="shared" si="79"/>
        <v>0</v>
      </c>
      <c r="M81" s="303">
        <f t="shared" si="79"/>
        <v>0</v>
      </c>
      <c r="N81" s="303">
        <f t="shared" si="79"/>
        <v>6276</v>
      </c>
      <c r="O81" s="303">
        <f t="shared" si="79"/>
        <v>438.32643656534549</v>
      </c>
      <c r="P81" s="303">
        <f t="shared" si="79"/>
        <v>2348</v>
      </c>
      <c r="Q81" s="303">
        <f t="shared" si="79"/>
        <v>0</v>
      </c>
      <c r="R81" s="303">
        <f t="shared" si="79"/>
        <v>0</v>
      </c>
      <c r="S81" s="303">
        <f t="shared" si="79"/>
        <v>0</v>
      </c>
      <c r="T81" s="303">
        <f t="shared" si="79"/>
        <v>0</v>
      </c>
      <c r="U81" s="303">
        <f t="shared" si="79"/>
        <v>0</v>
      </c>
      <c r="V81" s="303">
        <f t="shared" si="79"/>
        <v>0</v>
      </c>
      <c r="W81" s="303">
        <f t="shared" si="79"/>
        <v>0</v>
      </c>
      <c r="X81" s="303">
        <f t="shared" si="79"/>
        <v>0</v>
      </c>
      <c r="Y81" s="303">
        <f t="shared" si="79"/>
        <v>0</v>
      </c>
      <c r="Z81" s="303">
        <f t="shared" si="79"/>
        <v>4672</v>
      </c>
      <c r="AA81" s="303">
        <f t="shared" si="79"/>
        <v>1604</v>
      </c>
      <c r="AB81" s="303">
        <f t="shared" si="79"/>
        <v>0</v>
      </c>
      <c r="AC81" s="303">
        <f t="shared" si="79"/>
        <v>0</v>
      </c>
      <c r="AD81" s="303">
        <f t="shared" si="79"/>
        <v>0</v>
      </c>
      <c r="AE81" s="303">
        <f t="shared" si="79"/>
        <v>0</v>
      </c>
      <c r="AF81" s="303">
        <f t="shared" si="79"/>
        <v>0</v>
      </c>
      <c r="AG81" s="303">
        <f t="shared" si="79"/>
        <v>6276</v>
      </c>
      <c r="AH81" s="305">
        <f t="shared" si="43"/>
        <v>72.773654916512058</v>
      </c>
      <c r="AJ81" s="267">
        <v>77.77</v>
      </c>
    </row>
    <row r="82" spans="1:36" x14ac:dyDescent="0.2">
      <c r="A82" s="517">
        <v>6</v>
      </c>
      <c r="B82" s="509" t="s">
        <v>883</v>
      </c>
      <c r="C82" s="509" t="s">
        <v>883</v>
      </c>
      <c r="D82" s="320" t="s">
        <v>884</v>
      </c>
      <c r="E82" s="291">
        <v>3591.75</v>
      </c>
      <c r="F82" s="306">
        <v>14367</v>
      </c>
      <c r="G82" s="293">
        <v>1877</v>
      </c>
      <c r="H82" s="293">
        <v>1687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f t="shared" ref="N82:N84" si="80">SUM(G82:M82)</f>
        <v>3564</v>
      </c>
      <c r="O82" s="294">
        <f t="shared" ref="O82:O84" si="81">N82/E82*100</f>
        <v>99.227396116099399</v>
      </c>
      <c r="P82" s="295">
        <f t="shared" ref="P82:P84" si="82">E82-N82</f>
        <v>27.75</v>
      </c>
      <c r="Q82" s="293">
        <v>0</v>
      </c>
      <c r="R82" s="293">
        <v>0</v>
      </c>
      <c r="S82" s="293">
        <v>0</v>
      </c>
      <c r="T82" s="293">
        <v>0</v>
      </c>
      <c r="U82" s="293">
        <v>0</v>
      </c>
      <c r="V82" s="293">
        <v>0</v>
      </c>
      <c r="W82" s="293">
        <v>0</v>
      </c>
      <c r="X82" s="293">
        <f t="shared" ref="X82:X84" si="83">Q82+R82+S82+T82+U82+V82+W82</f>
        <v>0</v>
      </c>
      <c r="Y82" s="293">
        <f t="shared" ref="Y82:Y84" si="84">X82/E82*100</f>
        <v>0</v>
      </c>
      <c r="Z82" s="296">
        <f t="shared" ref="Z82:AG84" si="85">G82+Q82</f>
        <v>1877</v>
      </c>
      <c r="AA82" s="297">
        <f t="shared" si="85"/>
        <v>1687</v>
      </c>
      <c r="AB82" s="298">
        <f t="shared" si="85"/>
        <v>0</v>
      </c>
      <c r="AC82" s="298">
        <f t="shared" si="85"/>
        <v>0</v>
      </c>
      <c r="AD82" s="298">
        <f t="shared" si="85"/>
        <v>0</v>
      </c>
      <c r="AE82" s="298">
        <f t="shared" si="85"/>
        <v>0</v>
      </c>
      <c r="AF82" s="298">
        <f t="shared" si="85"/>
        <v>0</v>
      </c>
      <c r="AG82" s="298">
        <f t="shared" si="85"/>
        <v>3564</v>
      </c>
      <c r="AH82" s="299">
        <f t="shared" si="43"/>
        <v>99.227396116099399</v>
      </c>
    </row>
    <row r="83" spans="1:36" x14ac:dyDescent="0.2">
      <c r="A83" s="507"/>
      <c r="B83" s="510"/>
      <c r="C83" s="510"/>
      <c r="D83" s="320" t="s">
        <v>885</v>
      </c>
      <c r="E83" s="291">
        <v>2815.75</v>
      </c>
      <c r="F83" s="306">
        <v>11263</v>
      </c>
      <c r="G83" s="293">
        <v>1985</v>
      </c>
      <c r="H83" s="293">
        <v>802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f t="shared" si="80"/>
        <v>2787</v>
      </c>
      <c r="O83" s="294">
        <f t="shared" si="81"/>
        <v>98.978957648939002</v>
      </c>
      <c r="P83" s="295">
        <f t="shared" si="82"/>
        <v>28.75</v>
      </c>
      <c r="Q83" s="293">
        <v>0</v>
      </c>
      <c r="R83" s="293">
        <v>0</v>
      </c>
      <c r="S83" s="293">
        <v>0</v>
      </c>
      <c r="T83" s="293">
        <v>0</v>
      </c>
      <c r="U83" s="293">
        <v>0</v>
      </c>
      <c r="V83" s="293">
        <v>0</v>
      </c>
      <c r="W83" s="293">
        <v>0</v>
      </c>
      <c r="X83" s="293">
        <f t="shared" si="83"/>
        <v>0</v>
      </c>
      <c r="Y83" s="293">
        <f t="shared" si="84"/>
        <v>0</v>
      </c>
      <c r="Z83" s="296">
        <f t="shared" si="85"/>
        <v>1985</v>
      </c>
      <c r="AA83" s="297">
        <f t="shared" si="85"/>
        <v>802</v>
      </c>
      <c r="AB83" s="298">
        <f t="shared" si="85"/>
        <v>0</v>
      </c>
      <c r="AC83" s="298">
        <f t="shared" si="85"/>
        <v>0</v>
      </c>
      <c r="AD83" s="298">
        <f t="shared" si="85"/>
        <v>0</v>
      </c>
      <c r="AE83" s="298">
        <f t="shared" si="85"/>
        <v>0</v>
      </c>
      <c r="AF83" s="298">
        <f t="shared" si="85"/>
        <v>0</v>
      </c>
      <c r="AG83" s="298">
        <f t="shared" si="85"/>
        <v>2787</v>
      </c>
      <c r="AH83" s="299">
        <f t="shared" si="43"/>
        <v>98.978957648939002</v>
      </c>
    </row>
    <row r="84" spans="1:36" x14ac:dyDescent="0.2">
      <c r="A84" s="507"/>
      <c r="B84" s="510"/>
      <c r="C84" s="510"/>
      <c r="D84" s="320" t="s">
        <v>886</v>
      </c>
      <c r="E84" s="291">
        <v>1584</v>
      </c>
      <c r="F84" s="306">
        <v>6336</v>
      </c>
      <c r="G84" s="293">
        <v>742</v>
      </c>
      <c r="H84" s="293">
        <v>791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f t="shared" si="80"/>
        <v>1533</v>
      </c>
      <c r="O84" s="294">
        <f t="shared" si="81"/>
        <v>96.780303030303031</v>
      </c>
      <c r="P84" s="295">
        <f t="shared" si="82"/>
        <v>51</v>
      </c>
      <c r="Q84" s="293">
        <v>0</v>
      </c>
      <c r="R84" s="293">
        <v>0</v>
      </c>
      <c r="S84" s="293">
        <v>0</v>
      </c>
      <c r="T84" s="293">
        <v>0</v>
      </c>
      <c r="U84" s="293">
        <v>0</v>
      </c>
      <c r="V84" s="293">
        <v>0</v>
      </c>
      <c r="W84" s="293">
        <v>0</v>
      </c>
      <c r="X84" s="293">
        <f t="shared" si="83"/>
        <v>0</v>
      </c>
      <c r="Y84" s="293">
        <f t="shared" si="84"/>
        <v>0</v>
      </c>
      <c r="Z84" s="296">
        <f t="shared" si="85"/>
        <v>742</v>
      </c>
      <c r="AA84" s="297">
        <f t="shared" si="85"/>
        <v>791</v>
      </c>
      <c r="AB84" s="298">
        <f t="shared" si="85"/>
        <v>0</v>
      </c>
      <c r="AC84" s="298">
        <f t="shared" si="85"/>
        <v>0</v>
      </c>
      <c r="AD84" s="298">
        <f t="shared" si="85"/>
        <v>0</v>
      </c>
      <c r="AE84" s="298">
        <f t="shared" si="85"/>
        <v>0</v>
      </c>
      <c r="AF84" s="298">
        <f t="shared" si="85"/>
        <v>0</v>
      </c>
      <c r="AG84" s="298">
        <f t="shared" si="85"/>
        <v>1533</v>
      </c>
      <c r="AH84" s="299">
        <f t="shared" si="43"/>
        <v>96.780303030303031</v>
      </c>
    </row>
    <row r="85" spans="1:36" x14ac:dyDescent="0.2">
      <c r="A85" s="507"/>
      <c r="B85" s="510"/>
      <c r="C85" s="512"/>
      <c r="D85" s="302" t="s">
        <v>825</v>
      </c>
      <c r="E85" s="303">
        <f>SUM(E82:E84)</f>
        <v>7991.5</v>
      </c>
      <c r="F85" s="303">
        <f>SUM(F82:F84)</f>
        <v>31966</v>
      </c>
      <c r="G85" s="303">
        <f t="shared" ref="G85:AG85" si="86">SUM(G82:G84)</f>
        <v>4604</v>
      </c>
      <c r="H85" s="303">
        <f t="shared" si="86"/>
        <v>3280</v>
      </c>
      <c r="I85" s="303">
        <f t="shared" si="86"/>
        <v>0</v>
      </c>
      <c r="J85" s="303">
        <f t="shared" si="86"/>
        <v>0</v>
      </c>
      <c r="K85" s="303">
        <f t="shared" si="86"/>
        <v>0</v>
      </c>
      <c r="L85" s="303">
        <f t="shared" si="86"/>
        <v>0</v>
      </c>
      <c r="M85" s="303">
        <f t="shared" si="86"/>
        <v>0</v>
      </c>
      <c r="N85" s="303">
        <f t="shared" si="86"/>
        <v>7884</v>
      </c>
      <c r="O85" s="303">
        <f t="shared" si="86"/>
        <v>294.98665679534145</v>
      </c>
      <c r="P85" s="303">
        <f t="shared" si="86"/>
        <v>107.5</v>
      </c>
      <c r="Q85" s="303">
        <f t="shared" si="86"/>
        <v>0</v>
      </c>
      <c r="R85" s="303">
        <f t="shared" si="86"/>
        <v>0</v>
      </c>
      <c r="S85" s="303">
        <f t="shared" si="86"/>
        <v>0</v>
      </c>
      <c r="T85" s="303">
        <f t="shared" si="86"/>
        <v>0</v>
      </c>
      <c r="U85" s="303">
        <f t="shared" si="86"/>
        <v>0</v>
      </c>
      <c r="V85" s="303">
        <f t="shared" si="86"/>
        <v>0</v>
      </c>
      <c r="W85" s="303">
        <f t="shared" si="86"/>
        <v>0</v>
      </c>
      <c r="X85" s="303">
        <f t="shared" si="86"/>
        <v>0</v>
      </c>
      <c r="Y85" s="303">
        <f t="shared" si="86"/>
        <v>0</v>
      </c>
      <c r="Z85" s="303">
        <f t="shared" si="86"/>
        <v>4604</v>
      </c>
      <c r="AA85" s="303">
        <f t="shared" si="86"/>
        <v>3280</v>
      </c>
      <c r="AB85" s="303">
        <f t="shared" si="86"/>
        <v>0</v>
      </c>
      <c r="AC85" s="303">
        <f t="shared" si="86"/>
        <v>0</v>
      </c>
      <c r="AD85" s="303">
        <f t="shared" si="86"/>
        <v>0</v>
      </c>
      <c r="AE85" s="303">
        <f t="shared" si="86"/>
        <v>0</v>
      </c>
      <c r="AF85" s="303">
        <f t="shared" si="86"/>
        <v>0</v>
      </c>
      <c r="AG85" s="303">
        <f t="shared" si="86"/>
        <v>7884</v>
      </c>
      <c r="AH85" s="305">
        <f t="shared" si="43"/>
        <v>98.654820747043743</v>
      </c>
      <c r="AJ85" s="267">
        <v>87.48</v>
      </c>
    </row>
    <row r="86" spans="1:36" ht="14.25" customHeight="1" x14ac:dyDescent="0.2">
      <c r="A86" s="507"/>
      <c r="B86" s="510"/>
      <c r="C86" s="509" t="s">
        <v>887</v>
      </c>
      <c r="D86" s="321" t="s">
        <v>887</v>
      </c>
      <c r="E86" s="291">
        <v>3329</v>
      </c>
      <c r="F86" s="306">
        <v>8619</v>
      </c>
      <c r="G86" s="293">
        <v>1969</v>
      </c>
      <c r="H86" s="293">
        <v>1260</v>
      </c>
      <c r="I86" s="293">
        <v>0</v>
      </c>
      <c r="J86" s="293">
        <v>0</v>
      </c>
      <c r="K86" s="293">
        <v>0</v>
      </c>
      <c r="L86" s="293">
        <v>0</v>
      </c>
      <c r="M86" s="293">
        <v>0</v>
      </c>
      <c r="N86" s="293">
        <f t="shared" ref="N86:N88" si="87">SUM(G86:M86)</f>
        <v>3229</v>
      </c>
      <c r="O86" s="294">
        <f t="shared" ref="O86:O94" si="88">N86/E86*100</f>
        <v>96.99609492340042</v>
      </c>
      <c r="P86" s="295">
        <f t="shared" ref="P86:P88" si="89">E86-N86</f>
        <v>100</v>
      </c>
      <c r="Q86" s="293">
        <v>0</v>
      </c>
      <c r="R86" s="293">
        <v>0</v>
      </c>
      <c r="S86" s="293">
        <v>0</v>
      </c>
      <c r="T86" s="293">
        <v>0</v>
      </c>
      <c r="U86" s="293">
        <v>0</v>
      </c>
      <c r="V86" s="293">
        <v>0</v>
      </c>
      <c r="W86" s="293">
        <v>0</v>
      </c>
      <c r="X86" s="293">
        <f t="shared" ref="X86:X88" si="90">Q86+R86+S86+T86+U86+V86+W86</f>
        <v>0</v>
      </c>
      <c r="Y86" s="293">
        <f t="shared" ref="Y86:Y88" si="91">X86/E86*100</f>
        <v>0</v>
      </c>
      <c r="Z86" s="296">
        <f t="shared" ref="Z86:AG94" si="92">G86+Q86</f>
        <v>1969</v>
      </c>
      <c r="AA86" s="297">
        <f t="shared" si="92"/>
        <v>1260</v>
      </c>
      <c r="AB86" s="298">
        <f t="shared" si="92"/>
        <v>0</v>
      </c>
      <c r="AC86" s="298">
        <f t="shared" si="92"/>
        <v>0</v>
      </c>
      <c r="AD86" s="298">
        <f t="shared" si="92"/>
        <v>0</v>
      </c>
      <c r="AE86" s="298">
        <f t="shared" si="92"/>
        <v>0</v>
      </c>
      <c r="AF86" s="298">
        <f t="shared" si="92"/>
        <v>0</v>
      </c>
      <c r="AG86" s="298">
        <f t="shared" si="92"/>
        <v>3229</v>
      </c>
      <c r="AH86" s="299">
        <f t="shared" si="43"/>
        <v>96.99609492340042</v>
      </c>
    </row>
    <row r="87" spans="1:36" x14ac:dyDescent="0.2">
      <c r="A87" s="507"/>
      <c r="B87" s="510"/>
      <c r="C87" s="510"/>
      <c r="D87" s="321" t="s">
        <v>888</v>
      </c>
      <c r="E87" s="291">
        <v>1458</v>
      </c>
      <c r="F87" s="306">
        <v>4295</v>
      </c>
      <c r="G87" s="293">
        <v>1184</v>
      </c>
      <c r="H87" s="293">
        <v>202</v>
      </c>
      <c r="I87" s="293">
        <v>0</v>
      </c>
      <c r="J87" s="293">
        <v>0</v>
      </c>
      <c r="K87" s="293">
        <v>0</v>
      </c>
      <c r="L87" s="293">
        <v>0</v>
      </c>
      <c r="M87" s="293">
        <v>0</v>
      </c>
      <c r="N87" s="293">
        <f t="shared" si="87"/>
        <v>1386</v>
      </c>
      <c r="O87" s="294">
        <f t="shared" si="88"/>
        <v>95.061728395061735</v>
      </c>
      <c r="P87" s="295">
        <f t="shared" si="89"/>
        <v>72</v>
      </c>
      <c r="Q87" s="293">
        <v>0</v>
      </c>
      <c r="R87" s="293">
        <v>0</v>
      </c>
      <c r="S87" s="293">
        <v>0</v>
      </c>
      <c r="T87" s="293">
        <v>0</v>
      </c>
      <c r="U87" s="293">
        <v>0</v>
      </c>
      <c r="V87" s="293">
        <v>0</v>
      </c>
      <c r="W87" s="293">
        <v>0</v>
      </c>
      <c r="X87" s="293">
        <f t="shared" si="90"/>
        <v>0</v>
      </c>
      <c r="Y87" s="293">
        <f t="shared" si="91"/>
        <v>0</v>
      </c>
      <c r="Z87" s="296">
        <f t="shared" si="92"/>
        <v>1184</v>
      </c>
      <c r="AA87" s="297">
        <f t="shared" si="92"/>
        <v>202</v>
      </c>
      <c r="AB87" s="298">
        <f t="shared" si="92"/>
        <v>0</v>
      </c>
      <c r="AC87" s="298">
        <f t="shared" si="92"/>
        <v>0</v>
      </c>
      <c r="AD87" s="298">
        <f t="shared" si="92"/>
        <v>0</v>
      </c>
      <c r="AE87" s="298">
        <f t="shared" si="92"/>
        <v>0</v>
      </c>
      <c r="AF87" s="298">
        <f t="shared" si="92"/>
        <v>0</v>
      </c>
      <c r="AG87" s="298">
        <f t="shared" si="92"/>
        <v>1386</v>
      </c>
      <c r="AH87" s="299">
        <f t="shared" si="43"/>
        <v>95.061728395061735</v>
      </c>
    </row>
    <row r="88" spans="1:36" x14ac:dyDescent="0.2">
      <c r="A88" s="507"/>
      <c r="B88" s="510"/>
      <c r="C88" s="510"/>
      <c r="D88" s="321" t="s">
        <v>889</v>
      </c>
      <c r="E88" s="291">
        <v>1357</v>
      </c>
      <c r="F88" s="306">
        <v>3203</v>
      </c>
      <c r="G88" s="293">
        <v>477</v>
      </c>
      <c r="H88" s="293">
        <v>839</v>
      </c>
      <c r="I88" s="293">
        <v>0</v>
      </c>
      <c r="J88" s="293">
        <v>0</v>
      </c>
      <c r="K88" s="293">
        <v>0</v>
      </c>
      <c r="L88" s="293">
        <v>0</v>
      </c>
      <c r="M88" s="293">
        <v>0</v>
      </c>
      <c r="N88" s="293">
        <f t="shared" si="87"/>
        <v>1316</v>
      </c>
      <c r="O88" s="294">
        <f t="shared" si="88"/>
        <v>96.978629329403105</v>
      </c>
      <c r="P88" s="295">
        <f t="shared" si="89"/>
        <v>41</v>
      </c>
      <c r="Q88" s="293">
        <v>0</v>
      </c>
      <c r="R88" s="293">
        <v>0</v>
      </c>
      <c r="S88" s="293">
        <v>0</v>
      </c>
      <c r="T88" s="293">
        <v>0</v>
      </c>
      <c r="U88" s="293">
        <v>0</v>
      </c>
      <c r="V88" s="293">
        <v>0</v>
      </c>
      <c r="W88" s="293">
        <v>0</v>
      </c>
      <c r="X88" s="293">
        <f t="shared" si="90"/>
        <v>0</v>
      </c>
      <c r="Y88" s="293">
        <f t="shared" si="91"/>
        <v>0</v>
      </c>
      <c r="Z88" s="296">
        <f t="shared" si="92"/>
        <v>477</v>
      </c>
      <c r="AA88" s="297">
        <f t="shared" si="92"/>
        <v>839</v>
      </c>
      <c r="AB88" s="298">
        <f t="shared" si="92"/>
        <v>0</v>
      </c>
      <c r="AC88" s="298">
        <f t="shared" si="92"/>
        <v>0</v>
      </c>
      <c r="AD88" s="298">
        <f t="shared" si="92"/>
        <v>0</v>
      </c>
      <c r="AE88" s="298">
        <f t="shared" si="92"/>
        <v>0</v>
      </c>
      <c r="AF88" s="298">
        <f t="shared" si="92"/>
        <v>0</v>
      </c>
      <c r="AG88" s="298">
        <f t="shared" si="92"/>
        <v>1316</v>
      </c>
      <c r="AH88" s="299">
        <f t="shared" si="43"/>
        <v>96.978629329403105</v>
      </c>
    </row>
    <row r="89" spans="1:36" x14ac:dyDescent="0.2">
      <c r="A89" s="507"/>
      <c r="B89" s="510"/>
      <c r="C89" s="512"/>
      <c r="D89" s="302" t="s">
        <v>825</v>
      </c>
      <c r="E89" s="303">
        <f>SUM(E86:E88)</f>
        <v>6144</v>
      </c>
      <c r="F89" s="303">
        <f>SUM(F86:F88)</f>
        <v>16117</v>
      </c>
      <c r="G89" s="303">
        <f>SUM(G86:G88)</f>
        <v>3630</v>
      </c>
      <c r="H89" s="303">
        <f>SUM(H86:H88)</f>
        <v>2301</v>
      </c>
      <c r="I89" s="303">
        <f t="shared" ref="I89:P89" si="93">SUM(I86:I88)</f>
        <v>0</v>
      </c>
      <c r="J89" s="303">
        <f t="shared" si="93"/>
        <v>0</v>
      </c>
      <c r="K89" s="303">
        <f t="shared" si="93"/>
        <v>0</v>
      </c>
      <c r="L89" s="303">
        <f t="shared" si="93"/>
        <v>0</v>
      </c>
      <c r="M89" s="303">
        <f t="shared" si="93"/>
        <v>0</v>
      </c>
      <c r="N89" s="303">
        <f t="shared" si="93"/>
        <v>5931</v>
      </c>
      <c r="O89" s="322">
        <f t="shared" si="88"/>
        <v>96.533203125</v>
      </c>
      <c r="P89" s="323">
        <f t="shared" si="93"/>
        <v>213</v>
      </c>
      <c r="Q89" s="303">
        <f t="shared" ref="Q89" si="94">SUM(Q86:Q88)</f>
        <v>0</v>
      </c>
      <c r="R89" s="303">
        <f t="shared" ref="R89:Y89" si="95">SUM(R86:R88)</f>
        <v>0</v>
      </c>
      <c r="S89" s="303">
        <f t="shared" si="95"/>
        <v>0</v>
      </c>
      <c r="T89" s="303">
        <f t="shared" si="95"/>
        <v>0</v>
      </c>
      <c r="U89" s="303">
        <f t="shared" si="95"/>
        <v>0</v>
      </c>
      <c r="V89" s="303">
        <f t="shared" si="95"/>
        <v>0</v>
      </c>
      <c r="W89" s="303">
        <f t="shared" si="95"/>
        <v>0</v>
      </c>
      <c r="X89" s="303">
        <f t="shared" si="95"/>
        <v>0</v>
      </c>
      <c r="Y89" s="303">
        <f t="shared" si="95"/>
        <v>0</v>
      </c>
      <c r="Z89" s="311">
        <f t="shared" si="92"/>
        <v>3630</v>
      </c>
      <c r="AA89" s="312">
        <f t="shared" si="92"/>
        <v>2301</v>
      </c>
      <c r="AB89" s="313">
        <f t="shared" si="92"/>
        <v>0</v>
      </c>
      <c r="AC89" s="313">
        <f t="shared" si="92"/>
        <v>0</v>
      </c>
      <c r="AD89" s="313">
        <f t="shared" si="92"/>
        <v>0</v>
      </c>
      <c r="AE89" s="313">
        <f t="shared" si="92"/>
        <v>0</v>
      </c>
      <c r="AF89" s="313">
        <f t="shared" si="92"/>
        <v>0</v>
      </c>
      <c r="AG89" s="313">
        <f t="shared" si="92"/>
        <v>5931</v>
      </c>
      <c r="AH89" s="305">
        <f t="shared" si="43"/>
        <v>96.533203125</v>
      </c>
    </row>
    <row r="90" spans="1:36" x14ac:dyDescent="0.2">
      <c r="A90" s="507"/>
      <c r="B90" s="510"/>
      <c r="C90" s="509" t="s">
        <v>890</v>
      </c>
      <c r="D90" s="317" t="s">
        <v>890</v>
      </c>
      <c r="E90" s="291">
        <v>1673.25</v>
      </c>
      <c r="F90" s="306">
        <v>6693</v>
      </c>
      <c r="G90" s="293">
        <v>1360</v>
      </c>
      <c r="H90" s="293">
        <v>60</v>
      </c>
      <c r="I90" s="293">
        <v>100</v>
      </c>
      <c r="J90" s="293">
        <v>0</v>
      </c>
      <c r="K90" s="293">
        <v>0</v>
      </c>
      <c r="L90" s="293">
        <v>0</v>
      </c>
      <c r="M90" s="293">
        <v>0</v>
      </c>
      <c r="N90" s="293">
        <f t="shared" ref="N90:N94" si="96">SUM(G90:M90)</f>
        <v>1520</v>
      </c>
      <c r="O90" s="294">
        <f t="shared" si="88"/>
        <v>90.841177349469589</v>
      </c>
      <c r="P90" s="295">
        <f t="shared" ref="P90:P94" si="97">E90-N90</f>
        <v>153.25</v>
      </c>
      <c r="Q90" s="293">
        <v>0</v>
      </c>
      <c r="R90" s="293">
        <v>0</v>
      </c>
      <c r="S90" s="293">
        <v>0</v>
      </c>
      <c r="T90" s="293">
        <v>0</v>
      </c>
      <c r="U90" s="293">
        <v>0</v>
      </c>
      <c r="V90" s="293">
        <v>0</v>
      </c>
      <c r="W90" s="293">
        <v>0</v>
      </c>
      <c r="X90" s="293">
        <f t="shared" ref="X90:X94" si="98">Q90+R90+S90+T90+U90+V90+W90</f>
        <v>0</v>
      </c>
      <c r="Y90" s="293">
        <f t="shared" ref="Y90:Y94" si="99">X90/E90*100</f>
        <v>0</v>
      </c>
      <c r="Z90" s="296">
        <f t="shared" si="92"/>
        <v>1360</v>
      </c>
      <c r="AA90" s="297">
        <f t="shared" si="92"/>
        <v>60</v>
      </c>
      <c r="AB90" s="298">
        <f t="shared" si="92"/>
        <v>100</v>
      </c>
      <c r="AC90" s="298">
        <f t="shared" si="92"/>
        <v>0</v>
      </c>
      <c r="AD90" s="298">
        <f t="shared" si="92"/>
        <v>0</v>
      </c>
      <c r="AE90" s="298">
        <f t="shared" si="92"/>
        <v>0</v>
      </c>
      <c r="AF90" s="298">
        <f t="shared" si="92"/>
        <v>0</v>
      </c>
      <c r="AG90" s="298">
        <f t="shared" si="92"/>
        <v>1520</v>
      </c>
      <c r="AH90" s="299">
        <f t="shared" si="43"/>
        <v>90.841177349469589</v>
      </c>
    </row>
    <row r="91" spans="1:36" x14ac:dyDescent="0.2">
      <c r="A91" s="507"/>
      <c r="B91" s="510"/>
      <c r="C91" s="510"/>
      <c r="D91" s="318" t="s">
        <v>891</v>
      </c>
      <c r="E91" s="291">
        <v>1762.5</v>
      </c>
      <c r="F91" s="306">
        <v>7050</v>
      </c>
      <c r="G91" s="293">
        <v>1434</v>
      </c>
      <c r="H91" s="293">
        <v>19</v>
      </c>
      <c r="I91" s="293">
        <v>100</v>
      </c>
      <c r="J91" s="293">
        <v>0</v>
      </c>
      <c r="K91" s="293">
        <v>0</v>
      </c>
      <c r="L91" s="293">
        <v>0</v>
      </c>
      <c r="M91" s="293">
        <v>0</v>
      </c>
      <c r="N91" s="293">
        <f t="shared" si="96"/>
        <v>1553</v>
      </c>
      <c r="O91" s="294">
        <f t="shared" si="88"/>
        <v>88.113475177304963</v>
      </c>
      <c r="P91" s="295">
        <f t="shared" si="97"/>
        <v>209.5</v>
      </c>
      <c r="Q91" s="293">
        <v>0</v>
      </c>
      <c r="R91" s="293">
        <v>0</v>
      </c>
      <c r="S91" s="293">
        <v>0</v>
      </c>
      <c r="T91" s="293">
        <v>0</v>
      </c>
      <c r="U91" s="293">
        <v>0</v>
      </c>
      <c r="V91" s="293">
        <v>0</v>
      </c>
      <c r="W91" s="293">
        <v>0</v>
      </c>
      <c r="X91" s="293">
        <f t="shared" si="98"/>
        <v>0</v>
      </c>
      <c r="Y91" s="293">
        <f t="shared" si="99"/>
        <v>0</v>
      </c>
      <c r="Z91" s="296">
        <f t="shared" si="92"/>
        <v>1434</v>
      </c>
      <c r="AA91" s="297">
        <f t="shared" si="92"/>
        <v>19</v>
      </c>
      <c r="AB91" s="298">
        <f t="shared" si="92"/>
        <v>100</v>
      </c>
      <c r="AC91" s="298">
        <f t="shared" si="92"/>
        <v>0</v>
      </c>
      <c r="AD91" s="298">
        <f t="shared" si="92"/>
        <v>0</v>
      </c>
      <c r="AE91" s="298">
        <f t="shared" si="92"/>
        <v>0</v>
      </c>
      <c r="AF91" s="298">
        <f t="shared" si="92"/>
        <v>0</v>
      </c>
      <c r="AG91" s="298">
        <f t="shared" si="92"/>
        <v>1553</v>
      </c>
      <c r="AH91" s="299">
        <f t="shared" si="43"/>
        <v>88.113475177304963</v>
      </c>
    </row>
    <row r="92" spans="1:36" x14ac:dyDescent="0.2">
      <c r="A92" s="507"/>
      <c r="B92" s="510"/>
      <c r="C92" s="510"/>
      <c r="D92" s="317" t="s">
        <v>892</v>
      </c>
      <c r="E92" s="291">
        <v>1815.25</v>
      </c>
      <c r="F92" s="306">
        <v>7261</v>
      </c>
      <c r="G92" s="293">
        <v>1250</v>
      </c>
      <c r="H92" s="293">
        <v>137</v>
      </c>
      <c r="I92" s="293">
        <v>200</v>
      </c>
      <c r="J92" s="293">
        <v>0</v>
      </c>
      <c r="K92" s="293">
        <v>0</v>
      </c>
      <c r="L92" s="293">
        <v>0</v>
      </c>
      <c r="M92" s="293">
        <v>0</v>
      </c>
      <c r="N92" s="293">
        <f t="shared" si="96"/>
        <v>1587</v>
      </c>
      <c r="O92" s="294">
        <f t="shared" si="88"/>
        <v>87.425974383693699</v>
      </c>
      <c r="P92" s="295">
        <f t="shared" si="97"/>
        <v>228.25</v>
      </c>
      <c r="Q92" s="293">
        <v>0</v>
      </c>
      <c r="R92" s="293">
        <v>0</v>
      </c>
      <c r="S92" s="293">
        <v>0</v>
      </c>
      <c r="T92" s="293">
        <v>0</v>
      </c>
      <c r="U92" s="293">
        <v>0</v>
      </c>
      <c r="V92" s="293">
        <v>0</v>
      </c>
      <c r="W92" s="293">
        <v>0</v>
      </c>
      <c r="X92" s="293">
        <f t="shared" si="98"/>
        <v>0</v>
      </c>
      <c r="Y92" s="293">
        <f t="shared" si="99"/>
        <v>0</v>
      </c>
      <c r="Z92" s="296">
        <f t="shared" si="92"/>
        <v>1250</v>
      </c>
      <c r="AA92" s="297">
        <f t="shared" si="92"/>
        <v>137</v>
      </c>
      <c r="AB92" s="298">
        <f t="shared" si="92"/>
        <v>200</v>
      </c>
      <c r="AC92" s="298">
        <f t="shared" si="92"/>
        <v>0</v>
      </c>
      <c r="AD92" s="298">
        <f t="shared" si="92"/>
        <v>0</v>
      </c>
      <c r="AE92" s="298">
        <f t="shared" si="92"/>
        <v>0</v>
      </c>
      <c r="AF92" s="298">
        <f t="shared" si="92"/>
        <v>0</v>
      </c>
      <c r="AG92" s="298">
        <f t="shared" si="92"/>
        <v>1587</v>
      </c>
      <c r="AH92" s="299">
        <f t="shared" si="43"/>
        <v>87.425974383693699</v>
      </c>
    </row>
    <row r="93" spans="1:36" x14ac:dyDescent="0.2">
      <c r="A93" s="507"/>
      <c r="B93" s="510"/>
      <c r="C93" s="510"/>
      <c r="D93" s="318" t="s">
        <v>893</v>
      </c>
      <c r="E93" s="291">
        <v>2403</v>
      </c>
      <c r="F93" s="306">
        <v>9612</v>
      </c>
      <c r="G93" s="293">
        <v>2021</v>
      </c>
      <c r="H93" s="293">
        <v>27</v>
      </c>
      <c r="I93" s="293">
        <v>100</v>
      </c>
      <c r="J93" s="293">
        <v>0</v>
      </c>
      <c r="K93" s="293">
        <v>0</v>
      </c>
      <c r="L93" s="293">
        <v>0</v>
      </c>
      <c r="M93" s="293">
        <v>0</v>
      </c>
      <c r="N93" s="293">
        <f t="shared" si="96"/>
        <v>2148</v>
      </c>
      <c r="O93" s="294">
        <f t="shared" si="88"/>
        <v>89.388264669163547</v>
      </c>
      <c r="P93" s="295">
        <f t="shared" si="97"/>
        <v>255</v>
      </c>
      <c r="Q93" s="293">
        <v>0</v>
      </c>
      <c r="R93" s="293">
        <v>0</v>
      </c>
      <c r="S93" s="293">
        <v>0</v>
      </c>
      <c r="T93" s="293">
        <v>0</v>
      </c>
      <c r="U93" s="293">
        <v>0</v>
      </c>
      <c r="V93" s="293">
        <v>0</v>
      </c>
      <c r="W93" s="293">
        <v>0</v>
      </c>
      <c r="X93" s="293">
        <f t="shared" si="98"/>
        <v>0</v>
      </c>
      <c r="Y93" s="293">
        <f t="shared" si="99"/>
        <v>0</v>
      </c>
      <c r="Z93" s="296">
        <f t="shared" si="92"/>
        <v>2021</v>
      </c>
      <c r="AA93" s="297">
        <f t="shared" si="92"/>
        <v>27</v>
      </c>
      <c r="AB93" s="298">
        <f t="shared" si="92"/>
        <v>100</v>
      </c>
      <c r="AC93" s="298">
        <f t="shared" si="92"/>
        <v>0</v>
      </c>
      <c r="AD93" s="298">
        <f t="shared" si="92"/>
        <v>0</v>
      </c>
      <c r="AE93" s="298">
        <f t="shared" si="92"/>
        <v>0</v>
      </c>
      <c r="AF93" s="298">
        <f t="shared" si="92"/>
        <v>0</v>
      </c>
      <c r="AG93" s="298">
        <f t="shared" si="92"/>
        <v>2148</v>
      </c>
      <c r="AH93" s="299">
        <f t="shared" si="43"/>
        <v>89.388264669163547</v>
      </c>
    </row>
    <row r="94" spans="1:36" x14ac:dyDescent="0.2">
      <c r="A94" s="507"/>
      <c r="B94" s="510"/>
      <c r="C94" s="510"/>
      <c r="D94" s="318" t="s">
        <v>894</v>
      </c>
      <c r="E94" s="291">
        <v>759</v>
      </c>
      <c r="F94" s="306">
        <v>3036</v>
      </c>
      <c r="G94" s="293">
        <v>546</v>
      </c>
      <c r="H94" s="293">
        <v>35</v>
      </c>
      <c r="I94" s="293">
        <v>100</v>
      </c>
      <c r="J94" s="293">
        <v>0</v>
      </c>
      <c r="K94" s="293">
        <v>0</v>
      </c>
      <c r="L94" s="293">
        <v>0</v>
      </c>
      <c r="M94" s="293">
        <v>0</v>
      </c>
      <c r="N94" s="293">
        <f t="shared" si="96"/>
        <v>681</v>
      </c>
      <c r="O94" s="294">
        <f t="shared" si="88"/>
        <v>89.723320158102766</v>
      </c>
      <c r="P94" s="295">
        <f t="shared" si="97"/>
        <v>78</v>
      </c>
      <c r="Q94" s="293">
        <v>0</v>
      </c>
      <c r="R94" s="293">
        <v>0</v>
      </c>
      <c r="S94" s="293">
        <v>0</v>
      </c>
      <c r="T94" s="293">
        <v>0</v>
      </c>
      <c r="U94" s="293">
        <v>0</v>
      </c>
      <c r="V94" s="293">
        <v>0</v>
      </c>
      <c r="W94" s="293">
        <v>0</v>
      </c>
      <c r="X94" s="293">
        <f t="shared" si="98"/>
        <v>0</v>
      </c>
      <c r="Y94" s="293">
        <f t="shared" si="99"/>
        <v>0</v>
      </c>
      <c r="Z94" s="296">
        <f t="shared" si="92"/>
        <v>546</v>
      </c>
      <c r="AA94" s="297">
        <f t="shared" si="92"/>
        <v>35</v>
      </c>
      <c r="AB94" s="298">
        <f t="shared" si="92"/>
        <v>100</v>
      </c>
      <c r="AC94" s="298">
        <f t="shared" si="92"/>
        <v>0</v>
      </c>
      <c r="AD94" s="298">
        <f t="shared" si="92"/>
        <v>0</v>
      </c>
      <c r="AE94" s="298">
        <f t="shared" si="92"/>
        <v>0</v>
      </c>
      <c r="AF94" s="298">
        <f t="shared" si="92"/>
        <v>0</v>
      </c>
      <c r="AG94" s="298">
        <f t="shared" si="92"/>
        <v>681</v>
      </c>
      <c r="AH94" s="299">
        <f t="shared" si="43"/>
        <v>89.723320158102766</v>
      </c>
    </row>
    <row r="95" spans="1:36" x14ac:dyDescent="0.2">
      <c r="A95" s="516"/>
      <c r="B95" s="512"/>
      <c r="C95" s="512"/>
      <c r="D95" s="302" t="s">
        <v>825</v>
      </c>
      <c r="E95" s="303">
        <f>SUM(E90:E94)</f>
        <v>8413</v>
      </c>
      <c r="F95" s="303">
        <f>SUM(F90:F94)</f>
        <v>33652</v>
      </c>
      <c r="G95" s="303">
        <f t="shared" ref="G95:AG95" si="100">SUM(G90:G94)</f>
        <v>6611</v>
      </c>
      <c r="H95" s="303">
        <f t="shared" si="100"/>
        <v>278</v>
      </c>
      <c r="I95" s="303">
        <f t="shared" si="100"/>
        <v>600</v>
      </c>
      <c r="J95" s="303">
        <f t="shared" si="100"/>
        <v>0</v>
      </c>
      <c r="K95" s="303">
        <f t="shared" si="100"/>
        <v>0</v>
      </c>
      <c r="L95" s="303">
        <f t="shared" si="100"/>
        <v>0</v>
      </c>
      <c r="M95" s="303">
        <f t="shared" si="100"/>
        <v>0</v>
      </c>
      <c r="N95" s="303">
        <f t="shared" si="100"/>
        <v>7489</v>
      </c>
      <c r="O95" s="303">
        <f t="shared" si="100"/>
        <v>445.49221173773458</v>
      </c>
      <c r="P95" s="303">
        <f t="shared" si="100"/>
        <v>924</v>
      </c>
      <c r="Q95" s="303">
        <f t="shared" si="100"/>
        <v>0</v>
      </c>
      <c r="R95" s="303">
        <f t="shared" si="100"/>
        <v>0</v>
      </c>
      <c r="S95" s="303">
        <f t="shared" si="100"/>
        <v>0</v>
      </c>
      <c r="T95" s="303">
        <f t="shared" si="100"/>
        <v>0</v>
      </c>
      <c r="U95" s="303">
        <f t="shared" si="100"/>
        <v>0</v>
      </c>
      <c r="V95" s="303">
        <f t="shared" si="100"/>
        <v>0</v>
      </c>
      <c r="W95" s="303">
        <f t="shared" si="100"/>
        <v>0</v>
      </c>
      <c r="X95" s="303">
        <f t="shared" si="100"/>
        <v>0</v>
      </c>
      <c r="Y95" s="303">
        <f t="shared" si="100"/>
        <v>0</v>
      </c>
      <c r="Z95" s="303">
        <f t="shared" si="100"/>
        <v>6611</v>
      </c>
      <c r="AA95" s="303">
        <f t="shared" si="100"/>
        <v>278</v>
      </c>
      <c r="AB95" s="303">
        <f t="shared" si="100"/>
        <v>600</v>
      </c>
      <c r="AC95" s="303">
        <f t="shared" si="100"/>
        <v>0</v>
      </c>
      <c r="AD95" s="303">
        <f t="shared" si="100"/>
        <v>0</v>
      </c>
      <c r="AE95" s="303">
        <f t="shared" si="100"/>
        <v>0</v>
      </c>
      <c r="AF95" s="303">
        <f t="shared" si="100"/>
        <v>0</v>
      </c>
      <c r="AG95" s="303">
        <f t="shared" si="100"/>
        <v>7489</v>
      </c>
      <c r="AH95" s="305">
        <f t="shared" si="43"/>
        <v>89.016997503863067</v>
      </c>
      <c r="AJ95" s="267">
        <v>70.77</v>
      </c>
    </row>
    <row r="96" spans="1:36" x14ac:dyDescent="0.2">
      <c r="A96" s="517">
        <v>7</v>
      </c>
      <c r="B96" s="509" t="s">
        <v>895</v>
      </c>
      <c r="C96" s="509" t="s">
        <v>895</v>
      </c>
      <c r="D96" s="317" t="s">
        <v>896</v>
      </c>
      <c r="E96" s="291">
        <v>842.5</v>
      </c>
      <c r="F96" s="306">
        <v>3370</v>
      </c>
      <c r="G96" s="293">
        <v>297</v>
      </c>
      <c r="H96" s="293">
        <v>521</v>
      </c>
      <c r="I96" s="293">
        <v>2</v>
      </c>
      <c r="J96" s="293">
        <v>0</v>
      </c>
      <c r="K96" s="293">
        <v>0</v>
      </c>
      <c r="L96" s="293">
        <v>0</v>
      </c>
      <c r="M96" s="293">
        <v>0</v>
      </c>
      <c r="N96" s="293">
        <f t="shared" ref="N96:N104" si="101">SUM(G96:M96)</f>
        <v>820</v>
      </c>
      <c r="O96" s="294">
        <f t="shared" ref="O96:O104" si="102">N96/E96*100</f>
        <v>97.329376854599403</v>
      </c>
      <c r="P96" s="295">
        <f t="shared" ref="P96:P104" si="103">E96-N96</f>
        <v>22.5</v>
      </c>
      <c r="Q96" s="293">
        <v>0</v>
      </c>
      <c r="R96" s="293">
        <v>0</v>
      </c>
      <c r="S96" s="293">
        <v>0</v>
      </c>
      <c r="T96" s="293">
        <v>0</v>
      </c>
      <c r="U96" s="293">
        <v>0</v>
      </c>
      <c r="V96" s="293">
        <v>0</v>
      </c>
      <c r="W96" s="293">
        <v>0</v>
      </c>
      <c r="X96" s="293">
        <f t="shared" ref="X96:X104" si="104">Q96+R96+S96+T96+U96+V96+W96</f>
        <v>0</v>
      </c>
      <c r="Y96" s="293">
        <f t="shared" ref="Y96:Y104" si="105">X96/E96*100</f>
        <v>0</v>
      </c>
      <c r="Z96" s="296">
        <f t="shared" ref="Z96:AG104" si="106">G96+Q96</f>
        <v>297</v>
      </c>
      <c r="AA96" s="297">
        <f t="shared" si="106"/>
        <v>521</v>
      </c>
      <c r="AB96" s="298">
        <f t="shared" si="106"/>
        <v>2</v>
      </c>
      <c r="AC96" s="298">
        <f t="shared" si="106"/>
        <v>0</v>
      </c>
      <c r="AD96" s="298">
        <f t="shared" si="106"/>
        <v>0</v>
      </c>
      <c r="AE96" s="298">
        <f t="shared" si="106"/>
        <v>0</v>
      </c>
      <c r="AF96" s="298">
        <f t="shared" si="106"/>
        <v>0</v>
      </c>
      <c r="AG96" s="298">
        <f t="shared" si="106"/>
        <v>820</v>
      </c>
      <c r="AH96" s="299">
        <f t="shared" si="43"/>
        <v>97.329376854599403</v>
      </c>
    </row>
    <row r="97" spans="1:36" x14ac:dyDescent="0.2">
      <c r="A97" s="507"/>
      <c r="B97" s="510"/>
      <c r="C97" s="510"/>
      <c r="D97" s="318" t="s">
        <v>897</v>
      </c>
      <c r="E97" s="291">
        <v>2062.5</v>
      </c>
      <c r="F97" s="306">
        <v>8250</v>
      </c>
      <c r="G97" s="293">
        <v>899</v>
      </c>
      <c r="H97" s="293">
        <v>1129</v>
      </c>
      <c r="I97" s="293">
        <v>6</v>
      </c>
      <c r="J97" s="293">
        <v>25</v>
      </c>
      <c r="K97" s="293">
        <v>0</v>
      </c>
      <c r="L97" s="293">
        <v>0</v>
      </c>
      <c r="M97" s="293">
        <v>0</v>
      </c>
      <c r="N97" s="293">
        <f t="shared" si="101"/>
        <v>2059</v>
      </c>
      <c r="O97" s="294">
        <f t="shared" si="102"/>
        <v>99.830303030303028</v>
      </c>
      <c r="P97" s="295">
        <f t="shared" si="103"/>
        <v>3.5</v>
      </c>
      <c r="Q97" s="293">
        <v>0</v>
      </c>
      <c r="R97" s="293">
        <v>0</v>
      </c>
      <c r="S97" s="293">
        <v>0</v>
      </c>
      <c r="T97" s="293">
        <v>0</v>
      </c>
      <c r="U97" s="293">
        <v>0</v>
      </c>
      <c r="V97" s="293">
        <v>0</v>
      </c>
      <c r="W97" s="293">
        <v>0</v>
      </c>
      <c r="X97" s="293">
        <f t="shared" si="104"/>
        <v>0</v>
      </c>
      <c r="Y97" s="293">
        <f t="shared" si="105"/>
        <v>0</v>
      </c>
      <c r="Z97" s="296">
        <f t="shared" si="106"/>
        <v>899</v>
      </c>
      <c r="AA97" s="297">
        <f t="shared" si="106"/>
        <v>1129</v>
      </c>
      <c r="AB97" s="298">
        <f t="shared" si="106"/>
        <v>6</v>
      </c>
      <c r="AC97" s="298">
        <f t="shared" si="106"/>
        <v>25</v>
      </c>
      <c r="AD97" s="298">
        <f t="shared" si="106"/>
        <v>0</v>
      </c>
      <c r="AE97" s="298">
        <f t="shared" si="106"/>
        <v>0</v>
      </c>
      <c r="AF97" s="298">
        <f t="shared" si="106"/>
        <v>0</v>
      </c>
      <c r="AG97" s="298">
        <f t="shared" si="106"/>
        <v>2059</v>
      </c>
      <c r="AH97" s="299">
        <f t="shared" si="43"/>
        <v>99.830303030303028</v>
      </c>
    </row>
    <row r="98" spans="1:36" x14ac:dyDescent="0.2">
      <c r="A98" s="507"/>
      <c r="B98" s="510"/>
      <c r="C98" s="510"/>
      <c r="D98" s="317" t="s">
        <v>898</v>
      </c>
      <c r="E98" s="291">
        <v>1198.25</v>
      </c>
      <c r="F98" s="306">
        <v>4793</v>
      </c>
      <c r="G98" s="293">
        <v>701</v>
      </c>
      <c r="H98" s="293">
        <v>492</v>
      </c>
      <c r="I98" s="293">
        <v>3</v>
      </c>
      <c r="J98" s="293">
        <v>1</v>
      </c>
      <c r="K98" s="293">
        <v>0</v>
      </c>
      <c r="L98" s="293">
        <v>0</v>
      </c>
      <c r="M98" s="293">
        <v>0</v>
      </c>
      <c r="N98" s="293">
        <f t="shared" si="101"/>
        <v>1197</v>
      </c>
      <c r="O98" s="294">
        <f t="shared" si="102"/>
        <v>99.895681201752552</v>
      </c>
      <c r="P98" s="295">
        <f t="shared" si="103"/>
        <v>1.25</v>
      </c>
      <c r="Q98" s="293">
        <v>0</v>
      </c>
      <c r="R98" s="293">
        <v>0</v>
      </c>
      <c r="S98" s="293">
        <v>0</v>
      </c>
      <c r="T98" s="293">
        <v>0</v>
      </c>
      <c r="U98" s="293">
        <v>0</v>
      </c>
      <c r="V98" s="293">
        <v>0</v>
      </c>
      <c r="W98" s="293">
        <v>0</v>
      </c>
      <c r="X98" s="293">
        <f t="shared" si="104"/>
        <v>0</v>
      </c>
      <c r="Y98" s="293">
        <f t="shared" si="105"/>
        <v>0</v>
      </c>
      <c r="Z98" s="296">
        <f t="shared" si="106"/>
        <v>701</v>
      </c>
      <c r="AA98" s="297">
        <f t="shared" si="106"/>
        <v>492</v>
      </c>
      <c r="AB98" s="298">
        <f t="shared" si="106"/>
        <v>3</v>
      </c>
      <c r="AC98" s="298">
        <f t="shared" si="106"/>
        <v>1</v>
      </c>
      <c r="AD98" s="298">
        <f t="shared" si="106"/>
        <v>0</v>
      </c>
      <c r="AE98" s="298">
        <f t="shared" si="106"/>
        <v>0</v>
      </c>
      <c r="AF98" s="298">
        <f t="shared" si="106"/>
        <v>0</v>
      </c>
      <c r="AG98" s="298">
        <f t="shared" si="106"/>
        <v>1197</v>
      </c>
      <c r="AH98" s="299">
        <f t="shared" si="43"/>
        <v>99.895681201752552</v>
      </c>
    </row>
    <row r="99" spans="1:36" x14ac:dyDescent="0.2">
      <c r="A99" s="507"/>
      <c r="B99" s="510"/>
      <c r="C99" s="510"/>
      <c r="D99" s="318" t="s">
        <v>895</v>
      </c>
      <c r="E99" s="291">
        <v>3052.25</v>
      </c>
      <c r="F99" s="306">
        <v>12209</v>
      </c>
      <c r="G99" s="293">
        <v>843</v>
      </c>
      <c r="H99" s="293">
        <v>2145</v>
      </c>
      <c r="I99" s="293">
        <v>29</v>
      </c>
      <c r="J99" s="293">
        <v>0</v>
      </c>
      <c r="K99" s="293">
        <v>0</v>
      </c>
      <c r="L99" s="293">
        <v>1</v>
      </c>
      <c r="M99" s="293">
        <v>0</v>
      </c>
      <c r="N99" s="293">
        <f t="shared" si="101"/>
        <v>3018</v>
      </c>
      <c r="O99" s="294">
        <f t="shared" si="102"/>
        <v>98.877876976001318</v>
      </c>
      <c r="P99" s="295">
        <f t="shared" si="103"/>
        <v>34.25</v>
      </c>
      <c r="Q99" s="293">
        <v>0</v>
      </c>
      <c r="R99" s="293">
        <v>0</v>
      </c>
      <c r="S99" s="293">
        <v>0</v>
      </c>
      <c r="T99" s="293">
        <v>0</v>
      </c>
      <c r="U99" s="293">
        <v>0</v>
      </c>
      <c r="V99" s="293">
        <v>0</v>
      </c>
      <c r="W99" s="293">
        <v>0</v>
      </c>
      <c r="X99" s="293">
        <f t="shared" si="104"/>
        <v>0</v>
      </c>
      <c r="Y99" s="293">
        <f t="shared" si="105"/>
        <v>0</v>
      </c>
      <c r="Z99" s="296">
        <f t="shared" si="106"/>
        <v>843</v>
      </c>
      <c r="AA99" s="297">
        <f t="shared" si="106"/>
        <v>2145</v>
      </c>
      <c r="AB99" s="298">
        <f t="shared" si="106"/>
        <v>29</v>
      </c>
      <c r="AC99" s="298">
        <f t="shared" si="106"/>
        <v>0</v>
      </c>
      <c r="AD99" s="298">
        <f t="shared" si="106"/>
        <v>0</v>
      </c>
      <c r="AE99" s="298">
        <f t="shared" si="106"/>
        <v>1</v>
      </c>
      <c r="AF99" s="298">
        <f t="shared" si="106"/>
        <v>0</v>
      </c>
      <c r="AG99" s="298">
        <f t="shared" si="106"/>
        <v>3018</v>
      </c>
      <c r="AH99" s="299">
        <f t="shared" si="43"/>
        <v>98.877876976001318</v>
      </c>
    </row>
    <row r="100" spans="1:36" x14ac:dyDescent="0.2">
      <c r="A100" s="507"/>
      <c r="B100" s="510"/>
      <c r="C100" s="510"/>
      <c r="D100" s="317" t="s">
        <v>899</v>
      </c>
      <c r="E100" s="291">
        <v>3179.25</v>
      </c>
      <c r="F100" s="306">
        <v>12717</v>
      </c>
      <c r="G100" s="293">
        <v>1535</v>
      </c>
      <c r="H100" s="293">
        <v>1464</v>
      </c>
      <c r="I100" s="293">
        <v>0</v>
      </c>
      <c r="J100" s="293">
        <v>0</v>
      </c>
      <c r="K100" s="293">
        <v>0</v>
      </c>
      <c r="L100" s="293">
        <v>1</v>
      </c>
      <c r="M100" s="293">
        <v>0</v>
      </c>
      <c r="N100" s="293">
        <f t="shared" si="101"/>
        <v>3000</v>
      </c>
      <c r="O100" s="294">
        <f t="shared" si="102"/>
        <v>94.361877801368237</v>
      </c>
      <c r="P100" s="295">
        <f t="shared" si="103"/>
        <v>179.25</v>
      </c>
      <c r="Q100" s="293">
        <v>0</v>
      </c>
      <c r="R100" s="293">
        <v>0</v>
      </c>
      <c r="S100" s="293">
        <v>0</v>
      </c>
      <c r="T100" s="293">
        <v>0</v>
      </c>
      <c r="U100" s="293">
        <v>0</v>
      </c>
      <c r="V100" s="293">
        <v>0</v>
      </c>
      <c r="W100" s="293">
        <v>0</v>
      </c>
      <c r="X100" s="293">
        <f t="shared" si="104"/>
        <v>0</v>
      </c>
      <c r="Y100" s="293">
        <f t="shared" si="105"/>
        <v>0</v>
      </c>
      <c r="Z100" s="296">
        <f t="shared" si="106"/>
        <v>1535</v>
      </c>
      <c r="AA100" s="297">
        <f t="shared" si="106"/>
        <v>1464</v>
      </c>
      <c r="AB100" s="298">
        <f t="shared" si="106"/>
        <v>0</v>
      </c>
      <c r="AC100" s="298">
        <f t="shared" si="106"/>
        <v>0</v>
      </c>
      <c r="AD100" s="298">
        <f t="shared" si="106"/>
        <v>0</v>
      </c>
      <c r="AE100" s="298">
        <f t="shared" si="106"/>
        <v>1</v>
      </c>
      <c r="AF100" s="298">
        <f t="shared" si="106"/>
        <v>0</v>
      </c>
      <c r="AG100" s="298">
        <f t="shared" si="106"/>
        <v>3000</v>
      </c>
      <c r="AH100" s="299">
        <f t="shared" si="43"/>
        <v>94.361877801368237</v>
      </c>
    </row>
    <row r="101" spans="1:36" x14ac:dyDescent="0.2">
      <c r="A101" s="507"/>
      <c r="B101" s="510"/>
      <c r="C101" s="510"/>
      <c r="D101" s="318" t="s">
        <v>900</v>
      </c>
      <c r="E101" s="291">
        <v>2624.25</v>
      </c>
      <c r="F101" s="306">
        <v>10497</v>
      </c>
      <c r="G101" s="293">
        <v>945</v>
      </c>
      <c r="H101" s="293">
        <v>1210</v>
      </c>
      <c r="I101" s="293">
        <v>1</v>
      </c>
      <c r="J101" s="293">
        <v>1</v>
      </c>
      <c r="K101" s="293">
        <v>0</v>
      </c>
      <c r="L101" s="293">
        <v>0</v>
      </c>
      <c r="M101" s="293">
        <v>0</v>
      </c>
      <c r="N101" s="293">
        <f t="shared" si="101"/>
        <v>2157</v>
      </c>
      <c r="O101" s="294">
        <f t="shared" si="102"/>
        <v>82.19491283223779</v>
      </c>
      <c r="P101" s="295">
        <f t="shared" si="103"/>
        <v>467.25</v>
      </c>
      <c r="Q101" s="293">
        <v>0</v>
      </c>
      <c r="R101" s="293">
        <v>0</v>
      </c>
      <c r="S101" s="293">
        <v>0</v>
      </c>
      <c r="T101" s="293">
        <v>0</v>
      </c>
      <c r="U101" s="293">
        <v>0</v>
      </c>
      <c r="V101" s="293">
        <v>0</v>
      </c>
      <c r="W101" s="293">
        <v>0</v>
      </c>
      <c r="X101" s="293">
        <f t="shared" si="104"/>
        <v>0</v>
      </c>
      <c r="Y101" s="293">
        <f t="shared" si="105"/>
        <v>0</v>
      </c>
      <c r="Z101" s="296">
        <f t="shared" si="106"/>
        <v>945</v>
      </c>
      <c r="AA101" s="297">
        <f t="shared" si="106"/>
        <v>1210</v>
      </c>
      <c r="AB101" s="298">
        <f t="shared" si="106"/>
        <v>1</v>
      </c>
      <c r="AC101" s="298">
        <f t="shared" si="106"/>
        <v>1</v>
      </c>
      <c r="AD101" s="298">
        <f t="shared" si="106"/>
        <v>0</v>
      </c>
      <c r="AE101" s="298">
        <f t="shared" si="106"/>
        <v>0</v>
      </c>
      <c r="AF101" s="298">
        <f t="shared" si="106"/>
        <v>0</v>
      </c>
      <c r="AG101" s="298">
        <f t="shared" si="106"/>
        <v>2157</v>
      </c>
      <c r="AH101" s="299">
        <f t="shared" si="43"/>
        <v>82.19491283223779</v>
      </c>
    </row>
    <row r="102" spans="1:36" x14ac:dyDescent="0.2">
      <c r="A102" s="507"/>
      <c r="B102" s="510"/>
      <c r="C102" s="510"/>
      <c r="D102" s="317" t="s">
        <v>901</v>
      </c>
      <c r="E102" s="291">
        <v>1305.75</v>
      </c>
      <c r="F102" s="306">
        <v>5223</v>
      </c>
      <c r="G102" s="293">
        <v>857</v>
      </c>
      <c r="H102" s="293">
        <v>434</v>
      </c>
      <c r="I102" s="293">
        <v>3</v>
      </c>
      <c r="J102" s="293">
        <v>1</v>
      </c>
      <c r="K102" s="293">
        <v>0</v>
      </c>
      <c r="L102" s="293">
        <v>0</v>
      </c>
      <c r="M102" s="293">
        <v>0</v>
      </c>
      <c r="N102" s="293">
        <f t="shared" si="101"/>
        <v>1295</v>
      </c>
      <c r="O102" s="294">
        <f t="shared" si="102"/>
        <v>99.176718361095155</v>
      </c>
      <c r="P102" s="295">
        <f t="shared" si="103"/>
        <v>10.75</v>
      </c>
      <c r="Q102" s="293">
        <v>0</v>
      </c>
      <c r="R102" s="293">
        <v>0</v>
      </c>
      <c r="S102" s="293">
        <v>0</v>
      </c>
      <c r="T102" s="293">
        <v>0</v>
      </c>
      <c r="U102" s="293">
        <v>0</v>
      </c>
      <c r="V102" s="293">
        <v>0</v>
      </c>
      <c r="W102" s="293">
        <v>0</v>
      </c>
      <c r="X102" s="293">
        <f t="shared" si="104"/>
        <v>0</v>
      </c>
      <c r="Y102" s="293">
        <f t="shared" si="105"/>
        <v>0</v>
      </c>
      <c r="Z102" s="296">
        <f t="shared" si="106"/>
        <v>857</v>
      </c>
      <c r="AA102" s="297">
        <f t="shared" si="106"/>
        <v>434</v>
      </c>
      <c r="AB102" s="298">
        <f t="shared" si="106"/>
        <v>3</v>
      </c>
      <c r="AC102" s="298">
        <f t="shared" si="106"/>
        <v>1</v>
      </c>
      <c r="AD102" s="298">
        <f t="shared" si="106"/>
        <v>0</v>
      </c>
      <c r="AE102" s="298">
        <f t="shared" si="106"/>
        <v>0</v>
      </c>
      <c r="AF102" s="298">
        <f t="shared" si="106"/>
        <v>0</v>
      </c>
      <c r="AG102" s="298">
        <f t="shared" si="106"/>
        <v>1295</v>
      </c>
      <c r="AH102" s="299">
        <f t="shared" si="43"/>
        <v>99.176718361095155</v>
      </c>
    </row>
    <row r="103" spans="1:36" x14ac:dyDescent="0.2">
      <c r="A103" s="507"/>
      <c r="B103" s="510"/>
      <c r="C103" s="510"/>
      <c r="D103" s="317" t="s">
        <v>902</v>
      </c>
      <c r="E103" s="291">
        <v>1332</v>
      </c>
      <c r="F103" s="306">
        <v>5328</v>
      </c>
      <c r="G103" s="293">
        <v>723</v>
      </c>
      <c r="H103" s="293">
        <v>530</v>
      </c>
      <c r="I103" s="293">
        <v>0</v>
      </c>
      <c r="J103" s="293">
        <v>0</v>
      </c>
      <c r="K103" s="293">
        <v>0</v>
      </c>
      <c r="L103" s="293">
        <v>0</v>
      </c>
      <c r="M103" s="293">
        <v>0</v>
      </c>
      <c r="N103" s="293">
        <f t="shared" si="101"/>
        <v>1253</v>
      </c>
      <c r="O103" s="294">
        <f t="shared" si="102"/>
        <v>94.069069069069073</v>
      </c>
      <c r="P103" s="295">
        <f t="shared" si="103"/>
        <v>79</v>
      </c>
      <c r="Q103" s="293">
        <v>0</v>
      </c>
      <c r="R103" s="293">
        <v>0</v>
      </c>
      <c r="S103" s="293">
        <v>0</v>
      </c>
      <c r="T103" s="293">
        <v>0</v>
      </c>
      <c r="U103" s="293">
        <v>0</v>
      </c>
      <c r="V103" s="293">
        <v>0</v>
      </c>
      <c r="W103" s="293">
        <v>0</v>
      </c>
      <c r="X103" s="293">
        <f t="shared" si="104"/>
        <v>0</v>
      </c>
      <c r="Y103" s="293">
        <f t="shared" si="105"/>
        <v>0</v>
      </c>
      <c r="Z103" s="296">
        <f t="shared" si="106"/>
        <v>723</v>
      </c>
      <c r="AA103" s="297">
        <f t="shared" si="106"/>
        <v>530</v>
      </c>
      <c r="AB103" s="298">
        <f t="shared" si="106"/>
        <v>0</v>
      </c>
      <c r="AC103" s="298">
        <f t="shared" si="106"/>
        <v>0</v>
      </c>
      <c r="AD103" s="298">
        <f t="shared" si="106"/>
        <v>0</v>
      </c>
      <c r="AE103" s="298">
        <f t="shared" si="106"/>
        <v>0</v>
      </c>
      <c r="AF103" s="298">
        <f t="shared" si="106"/>
        <v>0</v>
      </c>
      <c r="AG103" s="298">
        <f t="shared" si="106"/>
        <v>1253</v>
      </c>
      <c r="AH103" s="299">
        <f t="shared" si="43"/>
        <v>94.069069069069073</v>
      </c>
    </row>
    <row r="104" spans="1:36" x14ac:dyDescent="0.2">
      <c r="A104" s="507"/>
      <c r="B104" s="510"/>
      <c r="C104" s="510"/>
      <c r="D104" s="318" t="s">
        <v>903</v>
      </c>
      <c r="E104" s="291">
        <v>1149</v>
      </c>
      <c r="F104" s="306">
        <v>4596</v>
      </c>
      <c r="G104" s="293">
        <v>433</v>
      </c>
      <c r="H104" s="293">
        <v>713</v>
      </c>
      <c r="I104" s="293">
        <v>0</v>
      </c>
      <c r="J104" s="293">
        <v>1</v>
      </c>
      <c r="K104" s="293">
        <v>0</v>
      </c>
      <c r="L104" s="293">
        <v>0</v>
      </c>
      <c r="M104" s="293">
        <v>0</v>
      </c>
      <c r="N104" s="293">
        <f t="shared" si="101"/>
        <v>1147</v>
      </c>
      <c r="O104" s="294">
        <f t="shared" si="102"/>
        <v>99.825935596170581</v>
      </c>
      <c r="P104" s="295">
        <f t="shared" si="103"/>
        <v>2</v>
      </c>
      <c r="Q104" s="293">
        <v>0</v>
      </c>
      <c r="R104" s="293">
        <v>0</v>
      </c>
      <c r="S104" s="293">
        <v>0</v>
      </c>
      <c r="T104" s="293">
        <v>0</v>
      </c>
      <c r="U104" s="293">
        <v>0</v>
      </c>
      <c r="V104" s="293">
        <v>0</v>
      </c>
      <c r="W104" s="293">
        <v>0</v>
      </c>
      <c r="X104" s="293">
        <f t="shared" si="104"/>
        <v>0</v>
      </c>
      <c r="Y104" s="293">
        <f t="shared" si="105"/>
        <v>0</v>
      </c>
      <c r="Z104" s="296">
        <f t="shared" si="106"/>
        <v>433</v>
      </c>
      <c r="AA104" s="297">
        <f t="shared" si="106"/>
        <v>713</v>
      </c>
      <c r="AB104" s="298">
        <f t="shared" si="106"/>
        <v>0</v>
      </c>
      <c r="AC104" s="298">
        <f t="shared" si="106"/>
        <v>1</v>
      </c>
      <c r="AD104" s="298">
        <f t="shared" si="106"/>
        <v>0</v>
      </c>
      <c r="AE104" s="298">
        <f t="shared" si="106"/>
        <v>0</v>
      </c>
      <c r="AF104" s="298">
        <f t="shared" si="106"/>
        <v>0</v>
      </c>
      <c r="AG104" s="298">
        <f t="shared" si="106"/>
        <v>1147</v>
      </c>
      <c r="AH104" s="299">
        <f t="shared" si="43"/>
        <v>99.825935596170581</v>
      </c>
    </row>
    <row r="105" spans="1:36" x14ac:dyDescent="0.2">
      <c r="A105" s="507"/>
      <c r="B105" s="510"/>
      <c r="C105" s="512"/>
      <c r="D105" s="302" t="s">
        <v>825</v>
      </c>
      <c r="E105" s="303">
        <f>SUM(E96:E104)</f>
        <v>16745.75</v>
      </c>
      <c r="F105" s="303">
        <f>SUM(F96:F104)</f>
        <v>66983</v>
      </c>
      <c r="G105" s="303">
        <f t="shared" ref="G105:AG105" si="107">SUM(G96:G104)</f>
        <v>7233</v>
      </c>
      <c r="H105" s="303">
        <f t="shared" si="107"/>
        <v>8638</v>
      </c>
      <c r="I105" s="303">
        <f t="shared" si="107"/>
        <v>44</v>
      </c>
      <c r="J105" s="303">
        <f t="shared" si="107"/>
        <v>29</v>
      </c>
      <c r="K105" s="303">
        <f t="shared" si="107"/>
        <v>0</v>
      </c>
      <c r="L105" s="303">
        <f t="shared" si="107"/>
        <v>2</v>
      </c>
      <c r="M105" s="303">
        <f t="shared" si="107"/>
        <v>0</v>
      </c>
      <c r="N105" s="303">
        <f t="shared" si="107"/>
        <v>15946</v>
      </c>
      <c r="O105" s="303">
        <f t="shared" si="107"/>
        <v>865.56175172259714</v>
      </c>
      <c r="P105" s="303">
        <f t="shared" si="107"/>
        <v>799.75</v>
      </c>
      <c r="Q105" s="303">
        <f t="shared" si="107"/>
        <v>0</v>
      </c>
      <c r="R105" s="303">
        <f t="shared" si="107"/>
        <v>0</v>
      </c>
      <c r="S105" s="303">
        <f t="shared" si="107"/>
        <v>0</v>
      </c>
      <c r="T105" s="303">
        <f t="shared" si="107"/>
        <v>0</v>
      </c>
      <c r="U105" s="303">
        <f t="shared" si="107"/>
        <v>0</v>
      </c>
      <c r="V105" s="303">
        <f t="shared" si="107"/>
        <v>0</v>
      </c>
      <c r="W105" s="303">
        <f t="shared" si="107"/>
        <v>0</v>
      </c>
      <c r="X105" s="303">
        <f t="shared" si="107"/>
        <v>0</v>
      </c>
      <c r="Y105" s="303">
        <f t="shared" si="107"/>
        <v>0</v>
      </c>
      <c r="Z105" s="303">
        <f t="shared" si="107"/>
        <v>7233</v>
      </c>
      <c r="AA105" s="303">
        <f t="shared" si="107"/>
        <v>8638</v>
      </c>
      <c r="AB105" s="303">
        <f t="shared" si="107"/>
        <v>44</v>
      </c>
      <c r="AC105" s="303">
        <f t="shared" si="107"/>
        <v>29</v>
      </c>
      <c r="AD105" s="303">
        <f t="shared" si="107"/>
        <v>0</v>
      </c>
      <c r="AE105" s="303">
        <f t="shared" si="107"/>
        <v>2</v>
      </c>
      <c r="AF105" s="303">
        <f t="shared" si="107"/>
        <v>0</v>
      </c>
      <c r="AG105" s="303">
        <f t="shared" si="107"/>
        <v>15946</v>
      </c>
      <c r="AH105" s="305">
        <f t="shared" si="43"/>
        <v>95.224161354373493</v>
      </c>
      <c r="AJ105" s="267">
        <v>90.69</v>
      </c>
    </row>
    <row r="106" spans="1:36" x14ac:dyDescent="0.2">
      <c r="A106" s="507"/>
      <c r="B106" s="510"/>
      <c r="C106" s="509" t="s">
        <v>904</v>
      </c>
      <c r="D106" s="316" t="s">
        <v>905</v>
      </c>
      <c r="E106" s="291">
        <v>2374.75</v>
      </c>
      <c r="F106" s="306">
        <v>9499</v>
      </c>
      <c r="G106" s="293">
        <v>1971</v>
      </c>
      <c r="H106" s="293">
        <v>171</v>
      </c>
      <c r="I106" s="293">
        <v>0</v>
      </c>
      <c r="J106" s="293">
        <v>0</v>
      </c>
      <c r="K106" s="293">
        <v>0</v>
      </c>
      <c r="L106" s="293">
        <v>1</v>
      </c>
      <c r="M106" s="293">
        <v>0</v>
      </c>
      <c r="N106" s="293">
        <f t="shared" ref="N106:N111" si="108">SUM(G106:M106)</f>
        <v>2143</v>
      </c>
      <c r="O106" s="294">
        <f t="shared" ref="O106:O111" si="109">N106/E106*100</f>
        <v>90.241078008211389</v>
      </c>
      <c r="P106" s="295">
        <f t="shared" ref="P106:P111" si="110">E106-N106</f>
        <v>231.75</v>
      </c>
      <c r="Q106" s="293">
        <v>0</v>
      </c>
      <c r="R106" s="293">
        <v>0</v>
      </c>
      <c r="S106" s="293">
        <v>0</v>
      </c>
      <c r="T106" s="293">
        <v>0</v>
      </c>
      <c r="U106" s="293">
        <v>0</v>
      </c>
      <c r="V106" s="293">
        <v>0</v>
      </c>
      <c r="W106" s="293">
        <v>0</v>
      </c>
      <c r="X106" s="293">
        <f t="shared" ref="X106:X111" si="111">Q106+R106+S106+T106+U106+V106+W106</f>
        <v>0</v>
      </c>
      <c r="Y106" s="293">
        <f t="shared" ref="Y106:Y111" si="112">X106/E106*100</f>
        <v>0</v>
      </c>
      <c r="Z106" s="296">
        <f t="shared" ref="Z106:AG111" si="113">G106+Q106</f>
        <v>1971</v>
      </c>
      <c r="AA106" s="297">
        <f t="shared" si="113"/>
        <v>171</v>
      </c>
      <c r="AB106" s="298">
        <f t="shared" si="113"/>
        <v>0</v>
      </c>
      <c r="AC106" s="298">
        <f t="shared" si="113"/>
        <v>0</v>
      </c>
      <c r="AD106" s="298">
        <f t="shared" si="113"/>
        <v>0</v>
      </c>
      <c r="AE106" s="298">
        <f t="shared" si="113"/>
        <v>1</v>
      </c>
      <c r="AF106" s="298">
        <f t="shared" si="113"/>
        <v>0</v>
      </c>
      <c r="AG106" s="298">
        <f t="shared" si="113"/>
        <v>2143</v>
      </c>
      <c r="AH106" s="299">
        <f t="shared" si="43"/>
        <v>90.241078008211389</v>
      </c>
    </row>
    <row r="107" spans="1:36" x14ac:dyDescent="0.2">
      <c r="A107" s="507"/>
      <c r="B107" s="510"/>
      <c r="C107" s="510"/>
      <c r="D107" s="315" t="s">
        <v>906</v>
      </c>
      <c r="E107" s="291">
        <v>2347.5</v>
      </c>
      <c r="F107" s="306">
        <v>9390</v>
      </c>
      <c r="G107" s="293">
        <v>1902</v>
      </c>
      <c r="H107" s="293">
        <v>71</v>
      </c>
      <c r="I107" s="293">
        <v>0</v>
      </c>
      <c r="J107" s="293">
        <v>3</v>
      </c>
      <c r="K107" s="293">
        <v>0</v>
      </c>
      <c r="L107" s="293">
        <v>0</v>
      </c>
      <c r="M107" s="293">
        <v>0</v>
      </c>
      <c r="N107" s="293">
        <f t="shared" si="108"/>
        <v>1976</v>
      </c>
      <c r="O107" s="294">
        <f t="shared" si="109"/>
        <v>84.174653887113948</v>
      </c>
      <c r="P107" s="295">
        <f t="shared" si="110"/>
        <v>371.5</v>
      </c>
      <c r="Q107" s="293">
        <v>0</v>
      </c>
      <c r="R107" s="293">
        <v>0</v>
      </c>
      <c r="S107" s="293">
        <v>0</v>
      </c>
      <c r="T107" s="293">
        <v>0</v>
      </c>
      <c r="U107" s="293">
        <v>0</v>
      </c>
      <c r="V107" s="293">
        <v>0</v>
      </c>
      <c r="W107" s="293">
        <v>0</v>
      </c>
      <c r="X107" s="293">
        <f t="shared" si="111"/>
        <v>0</v>
      </c>
      <c r="Y107" s="293">
        <f t="shared" si="112"/>
        <v>0</v>
      </c>
      <c r="Z107" s="296">
        <f t="shared" si="113"/>
        <v>1902</v>
      </c>
      <c r="AA107" s="297">
        <f t="shared" si="113"/>
        <v>71</v>
      </c>
      <c r="AB107" s="298">
        <f t="shared" si="113"/>
        <v>0</v>
      </c>
      <c r="AC107" s="298">
        <f t="shared" si="113"/>
        <v>3</v>
      </c>
      <c r="AD107" s="298">
        <f t="shared" si="113"/>
        <v>0</v>
      </c>
      <c r="AE107" s="298">
        <f t="shared" si="113"/>
        <v>0</v>
      </c>
      <c r="AF107" s="298">
        <f t="shared" si="113"/>
        <v>0</v>
      </c>
      <c r="AG107" s="298">
        <f t="shared" si="113"/>
        <v>1976</v>
      </c>
      <c r="AH107" s="299">
        <f t="shared" si="43"/>
        <v>84.174653887113948</v>
      </c>
    </row>
    <row r="108" spans="1:36" x14ac:dyDescent="0.2">
      <c r="A108" s="507"/>
      <c r="B108" s="510"/>
      <c r="C108" s="510"/>
      <c r="D108" s="316" t="s">
        <v>904</v>
      </c>
      <c r="E108" s="291">
        <v>1051.5</v>
      </c>
      <c r="F108" s="306">
        <v>4206</v>
      </c>
      <c r="G108" s="324">
        <v>825</v>
      </c>
      <c r="H108" s="293">
        <v>151</v>
      </c>
      <c r="I108" s="293">
        <v>0</v>
      </c>
      <c r="J108" s="293">
        <v>0</v>
      </c>
      <c r="K108" s="293">
        <v>0</v>
      </c>
      <c r="L108" s="293">
        <v>10</v>
      </c>
      <c r="M108" s="293">
        <v>0</v>
      </c>
      <c r="N108" s="293">
        <f t="shared" si="108"/>
        <v>986</v>
      </c>
      <c r="O108" s="294">
        <f t="shared" si="109"/>
        <v>93.770803613884922</v>
      </c>
      <c r="P108" s="295">
        <f t="shared" si="110"/>
        <v>65.5</v>
      </c>
      <c r="Q108" s="293">
        <v>0</v>
      </c>
      <c r="R108" s="293">
        <v>0</v>
      </c>
      <c r="S108" s="293">
        <v>0</v>
      </c>
      <c r="T108" s="293">
        <v>0</v>
      </c>
      <c r="U108" s="293">
        <v>0</v>
      </c>
      <c r="V108" s="293">
        <v>0</v>
      </c>
      <c r="W108" s="293">
        <v>0</v>
      </c>
      <c r="X108" s="293">
        <f t="shared" si="111"/>
        <v>0</v>
      </c>
      <c r="Y108" s="293">
        <f t="shared" si="112"/>
        <v>0</v>
      </c>
      <c r="Z108" s="296">
        <f t="shared" si="113"/>
        <v>825</v>
      </c>
      <c r="AA108" s="297">
        <f t="shared" si="113"/>
        <v>151</v>
      </c>
      <c r="AB108" s="298">
        <f t="shared" si="113"/>
        <v>0</v>
      </c>
      <c r="AC108" s="298">
        <f t="shared" si="113"/>
        <v>0</v>
      </c>
      <c r="AD108" s="298">
        <f t="shared" si="113"/>
        <v>0</v>
      </c>
      <c r="AE108" s="298">
        <f t="shared" si="113"/>
        <v>10</v>
      </c>
      <c r="AF108" s="298">
        <f t="shared" si="113"/>
        <v>0</v>
      </c>
      <c r="AG108" s="298">
        <f t="shared" si="113"/>
        <v>986</v>
      </c>
      <c r="AH108" s="299">
        <f t="shared" si="43"/>
        <v>93.770803613884922</v>
      </c>
    </row>
    <row r="109" spans="1:36" x14ac:dyDescent="0.2">
      <c r="A109" s="507"/>
      <c r="B109" s="510"/>
      <c r="C109" s="510"/>
      <c r="D109" s="315" t="s">
        <v>907</v>
      </c>
      <c r="E109" s="291">
        <v>1461.75</v>
      </c>
      <c r="F109" s="306">
        <v>5847</v>
      </c>
      <c r="G109" s="293">
        <v>1256</v>
      </c>
      <c r="H109" s="293">
        <v>141</v>
      </c>
      <c r="I109" s="293">
        <v>0</v>
      </c>
      <c r="J109" s="293">
        <v>5</v>
      </c>
      <c r="K109" s="293">
        <v>0</v>
      </c>
      <c r="L109" s="293">
        <v>1</v>
      </c>
      <c r="M109" s="293">
        <v>0</v>
      </c>
      <c r="N109" s="293">
        <f t="shared" si="108"/>
        <v>1403</v>
      </c>
      <c r="O109" s="294">
        <f t="shared" si="109"/>
        <v>95.980844877715072</v>
      </c>
      <c r="P109" s="295">
        <f t="shared" si="110"/>
        <v>58.75</v>
      </c>
      <c r="Q109" s="293">
        <v>0</v>
      </c>
      <c r="R109" s="293">
        <v>0</v>
      </c>
      <c r="S109" s="293">
        <v>0</v>
      </c>
      <c r="T109" s="293">
        <v>0</v>
      </c>
      <c r="U109" s="293">
        <v>0</v>
      </c>
      <c r="V109" s="293">
        <v>0</v>
      </c>
      <c r="W109" s="293">
        <v>0</v>
      </c>
      <c r="X109" s="293">
        <f t="shared" si="111"/>
        <v>0</v>
      </c>
      <c r="Y109" s="293">
        <f t="shared" si="112"/>
        <v>0</v>
      </c>
      <c r="Z109" s="296">
        <f t="shared" si="113"/>
        <v>1256</v>
      </c>
      <c r="AA109" s="297">
        <f t="shared" si="113"/>
        <v>141</v>
      </c>
      <c r="AB109" s="298">
        <f t="shared" si="113"/>
        <v>0</v>
      </c>
      <c r="AC109" s="298">
        <f t="shared" si="113"/>
        <v>5</v>
      </c>
      <c r="AD109" s="298">
        <f t="shared" si="113"/>
        <v>0</v>
      </c>
      <c r="AE109" s="298">
        <f t="shared" si="113"/>
        <v>1</v>
      </c>
      <c r="AF109" s="298">
        <f t="shared" si="113"/>
        <v>0</v>
      </c>
      <c r="AG109" s="298">
        <f t="shared" si="113"/>
        <v>1403</v>
      </c>
      <c r="AH109" s="299">
        <f t="shared" si="43"/>
        <v>95.980844877715072</v>
      </c>
    </row>
    <row r="110" spans="1:36" x14ac:dyDescent="0.2">
      <c r="A110" s="507"/>
      <c r="B110" s="510"/>
      <c r="C110" s="510"/>
      <c r="D110" s="316" t="s">
        <v>908</v>
      </c>
      <c r="E110" s="291">
        <v>2681.75</v>
      </c>
      <c r="F110" s="306">
        <v>10727</v>
      </c>
      <c r="G110" s="293">
        <v>2146</v>
      </c>
      <c r="H110" s="293">
        <v>185</v>
      </c>
      <c r="I110" s="293">
        <v>25</v>
      </c>
      <c r="J110" s="293">
        <v>0</v>
      </c>
      <c r="K110" s="293">
        <v>0</v>
      </c>
      <c r="L110" s="293">
        <v>0</v>
      </c>
      <c r="M110" s="293">
        <v>0</v>
      </c>
      <c r="N110" s="293">
        <f t="shared" si="108"/>
        <v>2356</v>
      </c>
      <c r="O110" s="294">
        <f t="shared" si="109"/>
        <v>87.853081010534169</v>
      </c>
      <c r="P110" s="295">
        <f t="shared" si="110"/>
        <v>325.75</v>
      </c>
      <c r="Q110" s="293">
        <v>0</v>
      </c>
      <c r="R110" s="293">
        <v>0</v>
      </c>
      <c r="S110" s="293">
        <v>0</v>
      </c>
      <c r="T110" s="293">
        <v>0</v>
      </c>
      <c r="U110" s="293">
        <v>0</v>
      </c>
      <c r="V110" s="293">
        <v>0</v>
      </c>
      <c r="W110" s="293">
        <v>0</v>
      </c>
      <c r="X110" s="293">
        <f t="shared" si="111"/>
        <v>0</v>
      </c>
      <c r="Y110" s="293">
        <f t="shared" si="112"/>
        <v>0</v>
      </c>
      <c r="Z110" s="296">
        <f t="shared" si="113"/>
        <v>2146</v>
      </c>
      <c r="AA110" s="297">
        <f t="shared" si="113"/>
        <v>185</v>
      </c>
      <c r="AB110" s="298">
        <f t="shared" si="113"/>
        <v>25</v>
      </c>
      <c r="AC110" s="298">
        <f t="shared" si="113"/>
        <v>0</v>
      </c>
      <c r="AD110" s="298">
        <f t="shared" si="113"/>
        <v>0</v>
      </c>
      <c r="AE110" s="298">
        <f t="shared" si="113"/>
        <v>0</v>
      </c>
      <c r="AF110" s="298">
        <f t="shared" si="113"/>
        <v>0</v>
      </c>
      <c r="AG110" s="298">
        <f t="shared" si="113"/>
        <v>2356</v>
      </c>
      <c r="AH110" s="299">
        <f t="shared" si="43"/>
        <v>87.853081010534169</v>
      </c>
    </row>
    <row r="111" spans="1:36" x14ac:dyDescent="0.2">
      <c r="A111" s="507"/>
      <c r="B111" s="510"/>
      <c r="C111" s="510"/>
      <c r="D111" s="315" t="s">
        <v>909</v>
      </c>
      <c r="E111" s="291">
        <v>1345.5</v>
      </c>
      <c r="F111" s="306">
        <v>5382</v>
      </c>
      <c r="G111" s="293">
        <v>985</v>
      </c>
      <c r="H111" s="293">
        <v>338</v>
      </c>
      <c r="I111" s="293">
        <v>0</v>
      </c>
      <c r="J111" s="293">
        <v>2</v>
      </c>
      <c r="K111" s="293">
        <v>0</v>
      </c>
      <c r="L111" s="293">
        <v>0</v>
      </c>
      <c r="M111" s="293">
        <v>0</v>
      </c>
      <c r="N111" s="293">
        <f t="shared" si="108"/>
        <v>1325</v>
      </c>
      <c r="O111" s="294">
        <f t="shared" si="109"/>
        <v>98.476402824228913</v>
      </c>
      <c r="P111" s="295">
        <f t="shared" si="110"/>
        <v>20.5</v>
      </c>
      <c r="Q111" s="293">
        <v>0</v>
      </c>
      <c r="R111" s="293">
        <v>0</v>
      </c>
      <c r="S111" s="293">
        <v>0</v>
      </c>
      <c r="T111" s="293">
        <v>0</v>
      </c>
      <c r="U111" s="293">
        <v>0</v>
      </c>
      <c r="V111" s="293">
        <v>0</v>
      </c>
      <c r="W111" s="293">
        <v>0</v>
      </c>
      <c r="X111" s="293">
        <f t="shared" si="111"/>
        <v>0</v>
      </c>
      <c r="Y111" s="293">
        <f t="shared" si="112"/>
        <v>0</v>
      </c>
      <c r="Z111" s="296">
        <f t="shared" si="113"/>
        <v>985</v>
      </c>
      <c r="AA111" s="297">
        <f t="shared" si="113"/>
        <v>338</v>
      </c>
      <c r="AB111" s="298">
        <f t="shared" si="113"/>
        <v>0</v>
      </c>
      <c r="AC111" s="298">
        <f t="shared" si="113"/>
        <v>2</v>
      </c>
      <c r="AD111" s="298">
        <f t="shared" si="113"/>
        <v>0</v>
      </c>
      <c r="AE111" s="298">
        <f t="shared" si="113"/>
        <v>0</v>
      </c>
      <c r="AF111" s="298">
        <f t="shared" si="113"/>
        <v>0</v>
      </c>
      <c r="AG111" s="298">
        <f t="shared" si="113"/>
        <v>1325</v>
      </c>
      <c r="AH111" s="299">
        <f t="shared" ref="AH111:AH174" si="114">AG111/E111*100</f>
        <v>98.476402824228913</v>
      </c>
    </row>
    <row r="112" spans="1:36" x14ac:dyDescent="0.2">
      <c r="A112" s="516"/>
      <c r="B112" s="512"/>
      <c r="C112" s="512"/>
      <c r="D112" s="302" t="s">
        <v>825</v>
      </c>
      <c r="E112" s="303">
        <f>SUM(E106:E111)</f>
        <v>11262.75</v>
      </c>
      <c r="F112" s="303">
        <f>SUM(F106:F111)</f>
        <v>45051</v>
      </c>
      <c r="G112" s="303">
        <f t="shared" ref="G112:AG112" si="115">SUM(G106:G111)</f>
        <v>9085</v>
      </c>
      <c r="H112" s="303">
        <f t="shared" si="115"/>
        <v>1057</v>
      </c>
      <c r="I112" s="303">
        <f t="shared" si="115"/>
        <v>25</v>
      </c>
      <c r="J112" s="303">
        <f t="shared" si="115"/>
        <v>10</v>
      </c>
      <c r="K112" s="303">
        <f t="shared" si="115"/>
        <v>0</v>
      </c>
      <c r="L112" s="303">
        <f t="shared" si="115"/>
        <v>12</v>
      </c>
      <c r="M112" s="303">
        <f t="shared" si="115"/>
        <v>0</v>
      </c>
      <c r="N112" s="303">
        <f t="shared" si="115"/>
        <v>10189</v>
      </c>
      <c r="O112" s="303">
        <f t="shared" si="115"/>
        <v>550.49686422168838</v>
      </c>
      <c r="P112" s="303">
        <f t="shared" si="115"/>
        <v>1073.75</v>
      </c>
      <c r="Q112" s="303">
        <f t="shared" si="115"/>
        <v>0</v>
      </c>
      <c r="R112" s="303">
        <f t="shared" si="115"/>
        <v>0</v>
      </c>
      <c r="S112" s="303">
        <f t="shared" si="115"/>
        <v>0</v>
      </c>
      <c r="T112" s="303">
        <f t="shared" si="115"/>
        <v>0</v>
      </c>
      <c r="U112" s="303">
        <f t="shared" si="115"/>
        <v>0</v>
      </c>
      <c r="V112" s="303">
        <f t="shared" si="115"/>
        <v>0</v>
      </c>
      <c r="W112" s="303">
        <f t="shared" si="115"/>
        <v>0</v>
      </c>
      <c r="X112" s="303">
        <f t="shared" si="115"/>
        <v>0</v>
      </c>
      <c r="Y112" s="303">
        <f t="shared" si="115"/>
        <v>0</v>
      </c>
      <c r="Z112" s="303">
        <f t="shared" si="115"/>
        <v>9085</v>
      </c>
      <c r="AA112" s="303">
        <f t="shared" si="115"/>
        <v>1057</v>
      </c>
      <c r="AB112" s="303">
        <f t="shared" si="115"/>
        <v>25</v>
      </c>
      <c r="AC112" s="303">
        <f t="shared" si="115"/>
        <v>10</v>
      </c>
      <c r="AD112" s="303">
        <f t="shared" si="115"/>
        <v>0</v>
      </c>
      <c r="AE112" s="303">
        <f t="shared" si="115"/>
        <v>12</v>
      </c>
      <c r="AF112" s="303">
        <f t="shared" si="115"/>
        <v>0</v>
      </c>
      <c r="AG112" s="303">
        <f t="shared" si="115"/>
        <v>10189</v>
      </c>
      <c r="AH112" s="305">
        <f t="shared" si="114"/>
        <v>90.466360347162095</v>
      </c>
      <c r="AJ112" s="267">
        <v>84.74</v>
      </c>
    </row>
    <row r="113" spans="1:36" x14ac:dyDescent="0.2">
      <c r="A113" s="517">
        <v>8</v>
      </c>
      <c r="B113" s="509" t="s">
        <v>910</v>
      </c>
      <c r="C113" s="509" t="s">
        <v>911</v>
      </c>
      <c r="D113" s="315" t="s">
        <v>912</v>
      </c>
      <c r="E113" s="291">
        <v>1554.5</v>
      </c>
      <c r="F113" s="306">
        <v>6218</v>
      </c>
      <c r="G113" s="293">
        <v>639</v>
      </c>
      <c r="H113" s="293">
        <v>665</v>
      </c>
      <c r="I113" s="293">
        <v>0</v>
      </c>
      <c r="J113" s="293">
        <v>0</v>
      </c>
      <c r="K113" s="293">
        <v>0</v>
      </c>
      <c r="L113" s="293">
        <v>0</v>
      </c>
      <c r="M113" s="293">
        <v>0</v>
      </c>
      <c r="N113" s="293">
        <f t="shared" ref="N113:N119" si="116">SUM(G113:M113)</f>
        <v>1304</v>
      </c>
      <c r="O113" s="294">
        <f t="shared" ref="O113:O119" si="117">N113/E113*100</f>
        <v>83.885493727886782</v>
      </c>
      <c r="P113" s="295">
        <f t="shared" ref="P113:P119" si="118">E113-N113</f>
        <v>250.5</v>
      </c>
      <c r="Q113" s="293">
        <v>0</v>
      </c>
      <c r="R113" s="293">
        <v>100</v>
      </c>
      <c r="S113" s="293">
        <v>0</v>
      </c>
      <c r="T113" s="293">
        <v>0</v>
      </c>
      <c r="U113" s="293">
        <v>0</v>
      </c>
      <c r="V113" s="293">
        <v>0</v>
      </c>
      <c r="W113" s="293">
        <v>0</v>
      </c>
      <c r="X113" s="293">
        <f t="shared" ref="X113:X119" si="119">Q113+R113+S113+T113+U113+V113+W113</f>
        <v>100</v>
      </c>
      <c r="Y113" s="293">
        <f t="shared" ref="Y113:Y119" si="120">X113/E113*100</f>
        <v>6.4329366355741397</v>
      </c>
      <c r="Z113" s="296">
        <f t="shared" ref="Z113:AG119" si="121">G113+Q113</f>
        <v>639</v>
      </c>
      <c r="AA113" s="297">
        <f t="shared" si="121"/>
        <v>765</v>
      </c>
      <c r="AB113" s="298">
        <f t="shared" si="121"/>
        <v>0</v>
      </c>
      <c r="AC113" s="298">
        <f t="shared" si="121"/>
        <v>0</v>
      </c>
      <c r="AD113" s="298">
        <f t="shared" si="121"/>
        <v>0</v>
      </c>
      <c r="AE113" s="298">
        <f t="shared" si="121"/>
        <v>0</v>
      </c>
      <c r="AF113" s="298">
        <f t="shared" si="121"/>
        <v>0</v>
      </c>
      <c r="AG113" s="298">
        <f t="shared" si="121"/>
        <v>1404</v>
      </c>
      <c r="AH113" s="299">
        <f t="shared" si="114"/>
        <v>90.318430363460919</v>
      </c>
    </row>
    <row r="114" spans="1:36" x14ac:dyDescent="0.2">
      <c r="A114" s="507"/>
      <c r="B114" s="510"/>
      <c r="C114" s="510"/>
      <c r="D114" s="316" t="s">
        <v>913</v>
      </c>
      <c r="E114" s="291">
        <v>866</v>
      </c>
      <c r="F114" s="306">
        <v>3464</v>
      </c>
      <c r="G114" s="293">
        <v>545</v>
      </c>
      <c r="H114" s="293">
        <v>150</v>
      </c>
      <c r="I114" s="293">
        <v>0</v>
      </c>
      <c r="J114" s="293">
        <v>0</v>
      </c>
      <c r="K114" s="293">
        <v>0</v>
      </c>
      <c r="L114" s="293">
        <v>0</v>
      </c>
      <c r="M114" s="293">
        <v>0</v>
      </c>
      <c r="N114" s="293">
        <f t="shared" si="116"/>
        <v>695</v>
      </c>
      <c r="O114" s="294">
        <f t="shared" si="117"/>
        <v>80.254041570438801</v>
      </c>
      <c r="P114" s="295">
        <f t="shared" si="118"/>
        <v>171</v>
      </c>
      <c r="Q114" s="293">
        <v>0</v>
      </c>
      <c r="R114" s="293">
        <v>50</v>
      </c>
      <c r="S114" s="293">
        <v>0</v>
      </c>
      <c r="T114" s="293">
        <v>0</v>
      </c>
      <c r="U114" s="293">
        <v>0</v>
      </c>
      <c r="V114" s="293">
        <v>0</v>
      </c>
      <c r="W114" s="293">
        <v>0</v>
      </c>
      <c r="X114" s="293">
        <f t="shared" si="119"/>
        <v>50</v>
      </c>
      <c r="Y114" s="293">
        <f t="shared" si="120"/>
        <v>5.7736720554272516</v>
      </c>
      <c r="Z114" s="296">
        <f t="shared" si="121"/>
        <v>545</v>
      </c>
      <c r="AA114" s="297">
        <f t="shared" si="121"/>
        <v>200</v>
      </c>
      <c r="AB114" s="298">
        <f t="shared" si="121"/>
        <v>0</v>
      </c>
      <c r="AC114" s="298">
        <f t="shared" si="121"/>
        <v>0</v>
      </c>
      <c r="AD114" s="298">
        <f t="shared" si="121"/>
        <v>0</v>
      </c>
      <c r="AE114" s="298">
        <f t="shared" si="121"/>
        <v>0</v>
      </c>
      <c r="AF114" s="298">
        <f t="shared" si="121"/>
        <v>0</v>
      </c>
      <c r="AG114" s="298">
        <f t="shared" si="121"/>
        <v>745</v>
      </c>
      <c r="AH114" s="299">
        <f t="shared" si="114"/>
        <v>86.027713625866056</v>
      </c>
    </row>
    <row r="115" spans="1:36" x14ac:dyDescent="0.2">
      <c r="A115" s="507"/>
      <c r="B115" s="510"/>
      <c r="C115" s="510"/>
      <c r="D115" s="316" t="s">
        <v>914</v>
      </c>
      <c r="E115" s="291">
        <v>1108.25</v>
      </c>
      <c r="F115" s="306">
        <v>4433</v>
      </c>
      <c r="G115" s="293">
        <v>870</v>
      </c>
      <c r="H115" s="293">
        <v>0</v>
      </c>
      <c r="I115" s="293">
        <v>0</v>
      </c>
      <c r="J115" s="293">
        <v>0</v>
      </c>
      <c r="K115" s="293">
        <v>0</v>
      </c>
      <c r="L115" s="293">
        <v>0</v>
      </c>
      <c r="M115" s="293">
        <v>0</v>
      </c>
      <c r="N115" s="293">
        <f t="shared" si="116"/>
        <v>870</v>
      </c>
      <c r="O115" s="294">
        <f t="shared" si="117"/>
        <v>78.502143018272051</v>
      </c>
      <c r="P115" s="295">
        <f t="shared" si="118"/>
        <v>238.25</v>
      </c>
      <c r="Q115" s="293">
        <v>10</v>
      </c>
      <c r="R115" s="293">
        <v>0</v>
      </c>
      <c r="S115" s="293">
        <v>0</v>
      </c>
      <c r="T115" s="293">
        <v>25</v>
      </c>
      <c r="U115" s="293">
        <v>0</v>
      </c>
      <c r="V115" s="293">
        <v>0</v>
      </c>
      <c r="W115" s="293">
        <v>0</v>
      </c>
      <c r="X115" s="293">
        <f t="shared" si="119"/>
        <v>35</v>
      </c>
      <c r="Y115" s="293">
        <f t="shared" si="120"/>
        <v>3.1581321903902553</v>
      </c>
      <c r="Z115" s="296">
        <f t="shared" si="121"/>
        <v>880</v>
      </c>
      <c r="AA115" s="297">
        <f t="shared" si="121"/>
        <v>0</v>
      </c>
      <c r="AB115" s="298">
        <f t="shared" si="121"/>
        <v>0</v>
      </c>
      <c r="AC115" s="298">
        <f t="shared" si="121"/>
        <v>25</v>
      </c>
      <c r="AD115" s="298">
        <f t="shared" si="121"/>
        <v>0</v>
      </c>
      <c r="AE115" s="298">
        <f t="shared" si="121"/>
        <v>0</v>
      </c>
      <c r="AF115" s="298">
        <f t="shared" si="121"/>
        <v>0</v>
      </c>
      <c r="AG115" s="298">
        <f t="shared" si="121"/>
        <v>905</v>
      </c>
      <c r="AH115" s="299">
        <f t="shared" si="114"/>
        <v>81.660275208662298</v>
      </c>
    </row>
    <row r="116" spans="1:36" x14ac:dyDescent="0.2">
      <c r="A116" s="507"/>
      <c r="B116" s="510"/>
      <c r="C116" s="510"/>
      <c r="D116" s="315" t="s">
        <v>911</v>
      </c>
      <c r="E116" s="291">
        <v>2390</v>
      </c>
      <c r="F116" s="306">
        <v>9560</v>
      </c>
      <c r="G116" s="293">
        <v>1734</v>
      </c>
      <c r="H116" s="293">
        <v>59</v>
      </c>
      <c r="I116" s="293">
        <v>0</v>
      </c>
      <c r="J116" s="293">
        <v>0</v>
      </c>
      <c r="K116" s="293">
        <v>0</v>
      </c>
      <c r="L116" s="293">
        <v>0</v>
      </c>
      <c r="M116" s="293">
        <v>0</v>
      </c>
      <c r="N116" s="293">
        <f t="shared" si="116"/>
        <v>1793</v>
      </c>
      <c r="O116" s="294">
        <f t="shared" si="117"/>
        <v>75.020920502092054</v>
      </c>
      <c r="P116" s="295">
        <f t="shared" si="118"/>
        <v>597</v>
      </c>
      <c r="Q116" s="293">
        <v>0</v>
      </c>
      <c r="R116" s="293">
        <v>0</v>
      </c>
      <c r="S116" s="293">
        <v>0</v>
      </c>
      <c r="T116" s="293">
        <v>125</v>
      </c>
      <c r="U116" s="293">
        <v>0</v>
      </c>
      <c r="V116" s="293">
        <v>0</v>
      </c>
      <c r="W116" s="293">
        <v>0</v>
      </c>
      <c r="X116" s="293">
        <f t="shared" si="119"/>
        <v>125</v>
      </c>
      <c r="Y116" s="293">
        <f t="shared" si="120"/>
        <v>5.2301255230125516</v>
      </c>
      <c r="Z116" s="296">
        <f t="shared" si="121"/>
        <v>1734</v>
      </c>
      <c r="AA116" s="297">
        <f t="shared" si="121"/>
        <v>59</v>
      </c>
      <c r="AB116" s="298">
        <f t="shared" si="121"/>
        <v>0</v>
      </c>
      <c r="AC116" s="298">
        <f t="shared" si="121"/>
        <v>125</v>
      </c>
      <c r="AD116" s="298">
        <f t="shared" si="121"/>
        <v>0</v>
      </c>
      <c r="AE116" s="298">
        <f t="shared" si="121"/>
        <v>0</v>
      </c>
      <c r="AF116" s="298">
        <f t="shared" si="121"/>
        <v>0</v>
      </c>
      <c r="AG116" s="298">
        <f t="shared" si="121"/>
        <v>1918</v>
      </c>
      <c r="AH116" s="299">
        <f t="shared" si="114"/>
        <v>80.2510460251046</v>
      </c>
    </row>
    <row r="117" spans="1:36" x14ac:dyDescent="0.2">
      <c r="A117" s="507"/>
      <c r="B117" s="510"/>
      <c r="C117" s="510"/>
      <c r="D117" s="316" t="s">
        <v>915</v>
      </c>
      <c r="E117" s="291">
        <v>769</v>
      </c>
      <c r="F117" s="306">
        <v>3076</v>
      </c>
      <c r="G117" s="293">
        <v>643</v>
      </c>
      <c r="H117" s="293">
        <v>0</v>
      </c>
      <c r="I117" s="293">
        <v>0</v>
      </c>
      <c r="J117" s="293">
        <v>0</v>
      </c>
      <c r="K117" s="293">
        <v>0</v>
      </c>
      <c r="L117" s="293">
        <v>0</v>
      </c>
      <c r="M117" s="293">
        <v>0</v>
      </c>
      <c r="N117" s="293">
        <f t="shared" si="116"/>
        <v>643</v>
      </c>
      <c r="O117" s="294">
        <f t="shared" si="117"/>
        <v>83.615084525357602</v>
      </c>
      <c r="P117" s="295">
        <f t="shared" si="118"/>
        <v>126</v>
      </c>
      <c r="Q117" s="293">
        <v>0</v>
      </c>
      <c r="R117" s="293">
        <v>60</v>
      </c>
      <c r="S117" s="293">
        <v>0</v>
      </c>
      <c r="T117" s="293">
        <v>0</v>
      </c>
      <c r="U117" s="293">
        <v>0</v>
      </c>
      <c r="V117" s="293">
        <v>0</v>
      </c>
      <c r="W117" s="293">
        <v>0</v>
      </c>
      <c r="X117" s="293">
        <f t="shared" si="119"/>
        <v>60</v>
      </c>
      <c r="Y117" s="293">
        <f t="shared" si="120"/>
        <v>7.8023407022106639</v>
      </c>
      <c r="Z117" s="296">
        <f t="shared" si="121"/>
        <v>643</v>
      </c>
      <c r="AA117" s="297">
        <f t="shared" si="121"/>
        <v>60</v>
      </c>
      <c r="AB117" s="298">
        <f t="shared" si="121"/>
        <v>0</v>
      </c>
      <c r="AC117" s="298">
        <f t="shared" si="121"/>
        <v>0</v>
      </c>
      <c r="AD117" s="298">
        <f t="shared" si="121"/>
        <v>0</v>
      </c>
      <c r="AE117" s="298">
        <f t="shared" si="121"/>
        <v>0</v>
      </c>
      <c r="AF117" s="298">
        <f t="shared" si="121"/>
        <v>0</v>
      </c>
      <c r="AG117" s="298">
        <f t="shared" si="121"/>
        <v>703</v>
      </c>
      <c r="AH117" s="299">
        <f t="shared" si="114"/>
        <v>91.417425227568273</v>
      </c>
    </row>
    <row r="118" spans="1:36" x14ac:dyDescent="0.2">
      <c r="A118" s="507"/>
      <c r="B118" s="510"/>
      <c r="C118" s="510"/>
      <c r="D118" s="315" t="s">
        <v>916</v>
      </c>
      <c r="E118" s="291">
        <v>732.25</v>
      </c>
      <c r="F118" s="306">
        <v>2929</v>
      </c>
      <c r="G118" s="293">
        <v>623</v>
      </c>
      <c r="H118" s="293">
        <v>0</v>
      </c>
      <c r="I118" s="293">
        <v>0</v>
      </c>
      <c r="J118" s="293">
        <v>0</v>
      </c>
      <c r="K118" s="293">
        <v>0</v>
      </c>
      <c r="L118" s="293">
        <v>0</v>
      </c>
      <c r="M118" s="293">
        <v>0</v>
      </c>
      <c r="N118" s="293">
        <f t="shared" si="116"/>
        <v>623</v>
      </c>
      <c r="O118" s="294">
        <f t="shared" si="117"/>
        <v>85.080232161147151</v>
      </c>
      <c r="P118" s="295">
        <f t="shared" si="118"/>
        <v>109.25</v>
      </c>
      <c r="Q118" s="293">
        <v>0</v>
      </c>
      <c r="R118" s="293">
        <v>0</v>
      </c>
      <c r="S118" s="293">
        <v>0</v>
      </c>
      <c r="T118" s="293">
        <v>35</v>
      </c>
      <c r="U118" s="293">
        <v>0</v>
      </c>
      <c r="V118" s="293">
        <v>0</v>
      </c>
      <c r="W118" s="293">
        <v>0</v>
      </c>
      <c r="X118" s="293">
        <f t="shared" si="119"/>
        <v>35</v>
      </c>
      <c r="Y118" s="293">
        <f t="shared" si="120"/>
        <v>4.7797883236599521</v>
      </c>
      <c r="Z118" s="296">
        <f t="shared" si="121"/>
        <v>623</v>
      </c>
      <c r="AA118" s="297">
        <f t="shared" si="121"/>
        <v>0</v>
      </c>
      <c r="AB118" s="298">
        <f t="shared" si="121"/>
        <v>0</v>
      </c>
      <c r="AC118" s="298">
        <f t="shared" si="121"/>
        <v>35</v>
      </c>
      <c r="AD118" s="298">
        <f t="shared" si="121"/>
        <v>0</v>
      </c>
      <c r="AE118" s="298">
        <f t="shared" si="121"/>
        <v>0</v>
      </c>
      <c r="AF118" s="298">
        <f t="shared" si="121"/>
        <v>0</v>
      </c>
      <c r="AG118" s="298">
        <f t="shared" si="121"/>
        <v>658</v>
      </c>
      <c r="AH118" s="299">
        <f t="shared" si="114"/>
        <v>89.860020484807109</v>
      </c>
    </row>
    <row r="119" spans="1:36" x14ac:dyDescent="0.2">
      <c r="A119" s="507"/>
      <c r="B119" s="510"/>
      <c r="C119" s="510"/>
      <c r="D119" s="316" t="s">
        <v>917</v>
      </c>
      <c r="E119" s="291">
        <v>831.25</v>
      </c>
      <c r="F119" s="306">
        <v>3325</v>
      </c>
      <c r="G119" s="293">
        <v>752</v>
      </c>
      <c r="H119" s="293">
        <v>0</v>
      </c>
      <c r="I119" s="293">
        <v>0</v>
      </c>
      <c r="J119" s="293">
        <v>0</v>
      </c>
      <c r="K119" s="293">
        <v>0</v>
      </c>
      <c r="L119" s="293">
        <v>0</v>
      </c>
      <c r="M119" s="293">
        <v>0</v>
      </c>
      <c r="N119" s="293">
        <f t="shared" si="116"/>
        <v>752</v>
      </c>
      <c r="O119" s="294">
        <f t="shared" si="117"/>
        <v>90.466165413533844</v>
      </c>
      <c r="P119" s="295">
        <f t="shared" si="118"/>
        <v>79.25</v>
      </c>
      <c r="Q119" s="293">
        <v>10</v>
      </c>
      <c r="R119" s="293">
        <v>0</v>
      </c>
      <c r="S119" s="293">
        <v>0</v>
      </c>
      <c r="T119" s="293">
        <v>15</v>
      </c>
      <c r="U119" s="293">
        <v>0</v>
      </c>
      <c r="V119" s="293">
        <v>0</v>
      </c>
      <c r="W119" s="293">
        <v>0</v>
      </c>
      <c r="X119" s="293">
        <f t="shared" si="119"/>
        <v>25</v>
      </c>
      <c r="Y119" s="293">
        <f t="shared" si="120"/>
        <v>3.007518796992481</v>
      </c>
      <c r="Z119" s="296">
        <f t="shared" si="121"/>
        <v>762</v>
      </c>
      <c r="AA119" s="297">
        <f t="shared" si="121"/>
        <v>0</v>
      </c>
      <c r="AB119" s="298">
        <f t="shared" si="121"/>
        <v>0</v>
      </c>
      <c r="AC119" s="298">
        <f t="shared" si="121"/>
        <v>15</v>
      </c>
      <c r="AD119" s="298">
        <f t="shared" si="121"/>
        <v>0</v>
      </c>
      <c r="AE119" s="298">
        <f t="shared" si="121"/>
        <v>0</v>
      </c>
      <c r="AF119" s="298">
        <f t="shared" si="121"/>
        <v>0</v>
      </c>
      <c r="AG119" s="298">
        <f t="shared" si="121"/>
        <v>777</v>
      </c>
      <c r="AH119" s="299">
        <f t="shared" si="114"/>
        <v>93.473684210526315</v>
      </c>
    </row>
    <row r="120" spans="1:36" x14ac:dyDescent="0.2">
      <c r="A120" s="507"/>
      <c r="B120" s="510"/>
      <c r="C120" s="512"/>
      <c r="D120" s="302" t="s">
        <v>825</v>
      </c>
      <c r="E120" s="303">
        <f>SUM(E113:E119)</f>
        <v>8251.25</v>
      </c>
      <c r="F120" s="303">
        <f>SUM(F113:F119)</f>
        <v>33005</v>
      </c>
      <c r="G120" s="303">
        <f t="shared" ref="G120:AG120" si="122">SUM(G113:G119)</f>
        <v>5806</v>
      </c>
      <c r="H120" s="303">
        <f t="shared" si="122"/>
        <v>874</v>
      </c>
      <c r="I120" s="303">
        <f t="shared" si="122"/>
        <v>0</v>
      </c>
      <c r="J120" s="303">
        <f t="shared" si="122"/>
        <v>0</v>
      </c>
      <c r="K120" s="303">
        <f t="shared" si="122"/>
        <v>0</v>
      </c>
      <c r="L120" s="303">
        <f t="shared" si="122"/>
        <v>0</v>
      </c>
      <c r="M120" s="303">
        <f t="shared" si="122"/>
        <v>0</v>
      </c>
      <c r="N120" s="303">
        <f t="shared" si="122"/>
        <v>6680</v>
      </c>
      <c r="O120" s="303">
        <f t="shared" si="122"/>
        <v>576.82408091872833</v>
      </c>
      <c r="P120" s="303">
        <f t="shared" si="122"/>
        <v>1571.25</v>
      </c>
      <c r="Q120" s="303">
        <f t="shared" si="122"/>
        <v>20</v>
      </c>
      <c r="R120" s="303">
        <f t="shared" si="122"/>
        <v>210</v>
      </c>
      <c r="S120" s="303">
        <f t="shared" si="122"/>
        <v>0</v>
      </c>
      <c r="T120" s="303">
        <f t="shared" si="122"/>
        <v>200</v>
      </c>
      <c r="U120" s="303">
        <f t="shared" si="122"/>
        <v>0</v>
      </c>
      <c r="V120" s="303">
        <f t="shared" si="122"/>
        <v>0</v>
      </c>
      <c r="W120" s="303">
        <f t="shared" si="122"/>
        <v>0</v>
      </c>
      <c r="X120" s="303">
        <f t="shared" si="122"/>
        <v>430</v>
      </c>
      <c r="Y120" s="303">
        <f t="shared" si="122"/>
        <v>36.184514227267293</v>
      </c>
      <c r="Z120" s="303">
        <f t="shared" si="122"/>
        <v>5826</v>
      </c>
      <c r="AA120" s="303">
        <f t="shared" si="122"/>
        <v>1084</v>
      </c>
      <c r="AB120" s="303">
        <f t="shared" si="122"/>
        <v>0</v>
      </c>
      <c r="AC120" s="303">
        <f t="shared" si="122"/>
        <v>200</v>
      </c>
      <c r="AD120" s="303">
        <f t="shared" si="122"/>
        <v>0</v>
      </c>
      <c r="AE120" s="303">
        <f t="shared" si="122"/>
        <v>0</v>
      </c>
      <c r="AF120" s="303">
        <f t="shared" si="122"/>
        <v>0</v>
      </c>
      <c r="AG120" s="303">
        <f t="shared" si="122"/>
        <v>7110</v>
      </c>
      <c r="AH120" s="305">
        <f t="shared" si="114"/>
        <v>86.168762308741094</v>
      </c>
      <c r="AJ120" s="267">
        <v>80.3</v>
      </c>
    </row>
    <row r="121" spans="1:36" x14ac:dyDescent="0.2">
      <c r="A121" s="507"/>
      <c r="B121" s="510"/>
      <c r="C121" s="509" t="s">
        <v>918</v>
      </c>
      <c r="D121" s="317" t="s">
        <v>919</v>
      </c>
      <c r="E121" s="291">
        <v>792.25</v>
      </c>
      <c r="F121" s="306">
        <v>3169</v>
      </c>
      <c r="G121" s="293">
        <v>449</v>
      </c>
      <c r="H121" s="293">
        <v>240</v>
      </c>
      <c r="I121" s="293">
        <v>0</v>
      </c>
      <c r="J121" s="293">
        <v>0</v>
      </c>
      <c r="K121" s="293">
        <v>0</v>
      </c>
      <c r="L121" s="293">
        <v>0</v>
      </c>
      <c r="M121" s="293">
        <v>0</v>
      </c>
      <c r="N121" s="293">
        <f t="shared" ref="N121:N125" si="123">SUM(G121:M121)</f>
        <v>689</v>
      </c>
      <c r="O121" s="294">
        <f t="shared" ref="O121:O125" si="124">N121/E121*100</f>
        <v>86.967497633322807</v>
      </c>
      <c r="P121" s="295">
        <f t="shared" ref="P121:P125" si="125">E121-N121</f>
        <v>103.25</v>
      </c>
      <c r="Q121" s="293">
        <v>0</v>
      </c>
      <c r="R121" s="293">
        <v>0</v>
      </c>
      <c r="S121" s="293">
        <v>0</v>
      </c>
      <c r="T121" s="293">
        <v>0</v>
      </c>
      <c r="U121" s="293">
        <v>0</v>
      </c>
      <c r="V121" s="293">
        <v>0</v>
      </c>
      <c r="W121" s="293">
        <v>0</v>
      </c>
      <c r="X121" s="293">
        <f t="shared" ref="X121:X125" si="126">Q121+R121+S121+T121+U121+V121+W121</f>
        <v>0</v>
      </c>
      <c r="Y121" s="293">
        <f t="shared" ref="Y121:Y125" si="127">X121/E121*100</f>
        <v>0</v>
      </c>
      <c r="Z121" s="296">
        <f t="shared" ref="Z121:AG125" si="128">G121+Q121</f>
        <v>449</v>
      </c>
      <c r="AA121" s="297">
        <f t="shared" si="128"/>
        <v>240</v>
      </c>
      <c r="AB121" s="298">
        <f t="shared" si="128"/>
        <v>0</v>
      </c>
      <c r="AC121" s="298">
        <f t="shared" si="128"/>
        <v>0</v>
      </c>
      <c r="AD121" s="298">
        <f t="shared" si="128"/>
        <v>0</v>
      </c>
      <c r="AE121" s="298">
        <f t="shared" si="128"/>
        <v>0</v>
      </c>
      <c r="AF121" s="298">
        <f t="shared" si="128"/>
        <v>0</v>
      </c>
      <c r="AG121" s="298">
        <f t="shared" si="128"/>
        <v>689</v>
      </c>
      <c r="AH121" s="299">
        <f t="shared" si="114"/>
        <v>86.967497633322807</v>
      </c>
    </row>
    <row r="122" spans="1:36" x14ac:dyDescent="0.2">
      <c r="A122" s="507"/>
      <c r="B122" s="510"/>
      <c r="C122" s="510"/>
      <c r="D122" s="318" t="s">
        <v>920</v>
      </c>
      <c r="E122" s="291">
        <v>1963</v>
      </c>
      <c r="F122" s="306">
        <v>7852</v>
      </c>
      <c r="G122" s="293">
        <v>1152</v>
      </c>
      <c r="H122" s="293">
        <v>426</v>
      </c>
      <c r="I122" s="293">
        <v>0</v>
      </c>
      <c r="J122" s="293">
        <v>0</v>
      </c>
      <c r="K122" s="293">
        <v>0</v>
      </c>
      <c r="L122" s="293">
        <v>0</v>
      </c>
      <c r="M122" s="293">
        <v>0</v>
      </c>
      <c r="N122" s="293">
        <f t="shared" si="123"/>
        <v>1578</v>
      </c>
      <c r="O122" s="294">
        <f t="shared" si="124"/>
        <v>80.387162506367801</v>
      </c>
      <c r="P122" s="295">
        <f t="shared" si="125"/>
        <v>385</v>
      </c>
      <c r="Q122" s="293">
        <v>0</v>
      </c>
      <c r="R122" s="293">
        <v>0</v>
      </c>
      <c r="S122" s="293">
        <v>0</v>
      </c>
      <c r="T122" s="293">
        <v>0</v>
      </c>
      <c r="U122" s="293">
        <v>0</v>
      </c>
      <c r="V122" s="293">
        <v>0</v>
      </c>
      <c r="W122" s="293">
        <v>0</v>
      </c>
      <c r="X122" s="293">
        <f t="shared" si="126"/>
        <v>0</v>
      </c>
      <c r="Y122" s="293">
        <f t="shared" si="127"/>
        <v>0</v>
      </c>
      <c r="Z122" s="296">
        <f t="shared" si="128"/>
        <v>1152</v>
      </c>
      <c r="AA122" s="297">
        <f t="shared" si="128"/>
        <v>426</v>
      </c>
      <c r="AB122" s="298">
        <f t="shared" si="128"/>
        <v>0</v>
      </c>
      <c r="AC122" s="298">
        <f t="shared" si="128"/>
        <v>0</v>
      </c>
      <c r="AD122" s="298">
        <f t="shared" si="128"/>
        <v>0</v>
      </c>
      <c r="AE122" s="298">
        <f t="shared" si="128"/>
        <v>0</v>
      </c>
      <c r="AF122" s="298">
        <f t="shared" si="128"/>
        <v>0</v>
      </c>
      <c r="AG122" s="298">
        <f t="shared" si="128"/>
        <v>1578</v>
      </c>
      <c r="AH122" s="299">
        <f t="shared" si="114"/>
        <v>80.387162506367801</v>
      </c>
    </row>
    <row r="123" spans="1:36" x14ac:dyDescent="0.2">
      <c r="A123" s="507"/>
      <c r="B123" s="510"/>
      <c r="C123" s="510"/>
      <c r="D123" s="317" t="s">
        <v>918</v>
      </c>
      <c r="E123" s="291">
        <v>1822</v>
      </c>
      <c r="F123" s="306">
        <v>7288</v>
      </c>
      <c r="G123" s="293">
        <v>1328</v>
      </c>
      <c r="H123" s="293">
        <v>215</v>
      </c>
      <c r="I123" s="293">
        <v>0</v>
      </c>
      <c r="J123" s="293">
        <v>0</v>
      </c>
      <c r="K123" s="293">
        <v>0</v>
      </c>
      <c r="L123" s="293">
        <v>0</v>
      </c>
      <c r="M123" s="293">
        <v>0</v>
      </c>
      <c r="N123" s="293">
        <f t="shared" si="123"/>
        <v>1543</v>
      </c>
      <c r="O123" s="294">
        <f t="shared" si="124"/>
        <v>84.687156970362238</v>
      </c>
      <c r="P123" s="295">
        <f t="shared" si="125"/>
        <v>279</v>
      </c>
      <c r="Q123" s="293">
        <v>0</v>
      </c>
      <c r="R123" s="293">
        <v>0</v>
      </c>
      <c r="S123" s="293">
        <v>0</v>
      </c>
      <c r="T123" s="293">
        <v>0</v>
      </c>
      <c r="U123" s="293">
        <v>0</v>
      </c>
      <c r="V123" s="293">
        <v>0</v>
      </c>
      <c r="W123" s="293">
        <v>0</v>
      </c>
      <c r="X123" s="293">
        <f t="shared" si="126"/>
        <v>0</v>
      </c>
      <c r="Y123" s="293">
        <f t="shared" si="127"/>
        <v>0</v>
      </c>
      <c r="Z123" s="296">
        <f t="shared" si="128"/>
        <v>1328</v>
      </c>
      <c r="AA123" s="297">
        <f t="shared" si="128"/>
        <v>215</v>
      </c>
      <c r="AB123" s="298">
        <f t="shared" si="128"/>
        <v>0</v>
      </c>
      <c r="AC123" s="298">
        <f t="shared" si="128"/>
        <v>0</v>
      </c>
      <c r="AD123" s="298">
        <f t="shared" si="128"/>
        <v>0</v>
      </c>
      <c r="AE123" s="298">
        <f t="shared" si="128"/>
        <v>0</v>
      </c>
      <c r="AF123" s="298">
        <f t="shared" si="128"/>
        <v>0</v>
      </c>
      <c r="AG123" s="298">
        <f t="shared" si="128"/>
        <v>1543</v>
      </c>
      <c r="AH123" s="299">
        <f t="shared" si="114"/>
        <v>84.687156970362238</v>
      </c>
    </row>
    <row r="124" spans="1:36" x14ac:dyDescent="0.2">
      <c r="A124" s="507"/>
      <c r="B124" s="510"/>
      <c r="C124" s="510"/>
      <c r="D124" s="318" t="s">
        <v>921</v>
      </c>
      <c r="E124" s="291">
        <v>1541</v>
      </c>
      <c r="F124" s="306">
        <v>6164</v>
      </c>
      <c r="G124" s="293">
        <v>946</v>
      </c>
      <c r="H124" s="293">
        <v>50</v>
      </c>
      <c r="I124" s="293">
        <v>0</v>
      </c>
      <c r="J124" s="293">
        <v>115</v>
      </c>
      <c r="K124" s="293">
        <v>0</v>
      </c>
      <c r="L124" s="293">
        <v>0</v>
      </c>
      <c r="M124" s="293">
        <v>0</v>
      </c>
      <c r="N124" s="293">
        <f t="shared" si="123"/>
        <v>1111</v>
      </c>
      <c r="O124" s="294">
        <f t="shared" si="124"/>
        <v>72.096041531473062</v>
      </c>
      <c r="P124" s="295">
        <f t="shared" si="125"/>
        <v>430</v>
      </c>
      <c r="Q124" s="293">
        <v>0</v>
      </c>
      <c r="R124" s="293">
        <v>0</v>
      </c>
      <c r="S124" s="293">
        <v>0</v>
      </c>
      <c r="T124" s="293">
        <v>0</v>
      </c>
      <c r="U124" s="293">
        <v>0</v>
      </c>
      <c r="V124" s="293">
        <v>0</v>
      </c>
      <c r="W124" s="293">
        <v>0</v>
      </c>
      <c r="X124" s="293">
        <f t="shared" si="126"/>
        <v>0</v>
      </c>
      <c r="Y124" s="293">
        <f t="shared" si="127"/>
        <v>0</v>
      </c>
      <c r="Z124" s="296">
        <f t="shared" si="128"/>
        <v>946</v>
      </c>
      <c r="AA124" s="297">
        <f t="shared" si="128"/>
        <v>50</v>
      </c>
      <c r="AB124" s="298">
        <f t="shared" si="128"/>
        <v>0</v>
      </c>
      <c r="AC124" s="298">
        <f t="shared" si="128"/>
        <v>115</v>
      </c>
      <c r="AD124" s="298">
        <f t="shared" si="128"/>
        <v>0</v>
      </c>
      <c r="AE124" s="298">
        <f t="shared" si="128"/>
        <v>0</v>
      </c>
      <c r="AF124" s="298">
        <f t="shared" si="128"/>
        <v>0</v>
      </c>
      <c r="AG124" s="298">
        <f t="shared" si="128"/>
        <v>1111</v>
      </c>
      <c r="AH124" s="299">
        <f t="shared" si="114"/>
        <v>72.096041531473062</v>
      </c>
    </row>
    <row r="125" spans="1:36" x14ac:dyDescent="0.2">
      <c r="A125" s="507"/>
      <c r="B125" s="510"/>
      <c r="C125" s="510"/>
      <c r="D125" s="317" t="s">
        <v>922</v>
      </c>
      <c r="E125" s="291">
        <v>1839</v>
      </c>
      <c r="F125" s="306">
        <v>7356</v>
      </c>
      <c r="G125" s="293">
        <v>1308</v>
      </c>
      <c r="H125" s="293">
        <v>0</v>
      </c>
      <c r="I125" s="293">
        <v>0</v>
      </c>
      <c r="J125" s="293">
        <v>0</v>
      </c>
      <c r="K125" s="293">
        <v>0</v>
      </c>
      <c r="L125" s="293">
        <v>0</v>
      </c>
      <c r="M125" s="293">
        <v>0</v>
      </c>
      <c r="N125" s="293">
        <f t="shared" si="123"/>
        <v>1308</v>
      </c>
      <c r="O125" s="294">
        <f t="shared" si="124"/>
        <v>71.125611745513865</v>
      </c>
      <c r="P125" s="295">
        <f t="shared" si="125"/>
        <v>531</v>
      </c>
      <c r="Q125" s="293">
        <v>0</v>
      </c>
      <c r="R125" s="293">
        <v>0</v>
      </c>
      <c r="S125" s="293">
        <v>0</v>
      </c>
      <c r="T125" s="293">
        <v>0</v>
      </c>
      <c r="U125" s="293">
        <v>0</v>
      </c>
      <c r="V125" s="293">
        <v>0</v>
      </c>
      <c r="W125" s="293">
        <v>0</v>
      </c>
      <c r="X125" s="293">
        <f t="shared" si="126"/>
        <v>0</v>
      </c>
      <c r="Y125" s="293">
        <f t="shared" si="127"/>
        <v>0</v>
      </c>
      <c r="Z125" s="296">
        <f t="shared" si="128"/>
        <v>1308</v>
      </c>
      <c r="AA125" s="297">
        <f t="shared" si="128"/>
        <v>0</v>
      </c>
      <c r="AB125" s="298">
        <f t="shared" si="128"/>
        <v>0</v>
      </c>
      <c r="AC125" s="298">
        <f t="shared" si="128"/>
        <v>0</v>
      </c>
      <c r="AD125" s="298">
        <f t="shared" si="128"/>
        <v>0</v>
      </c>
      <c r="AE125" s="298">
        <f t="shared" si="128"/>
        <v>0</v>
      </c>
      <c r="AF125" s="298">
        <f t="shared" si="128"/>
        <v>0</v>
      </c>
      <c r="AG125" s="298">
        <f t="shared" si="128"/>
        <v>1308</v>
      </c>
      <c r="AH125" s="299">
        <f t="shared" si="114"/>
        <v>71.125611745513865</v>
      </c>
    </row>
    <row r="126" spans="1:36" x14ac:dyDescent="0.2">
      <c r="A126" s="507"/>
      <c r="B126" s="512"/>
      <c r="C126" s="512"/>
      <c r="D126" s="302" t="s">
        <v>825</v>
      </c>
      <c r="E126" s="303">
        <f>SUM(E121:E125)</f>
        <v>7957.25</v>
      </c>
      <c r="F126" s="303">
        <f>SUM(F121:F125)</f>
        <v>31829</v>
      </c>
      <c r="G126" s="303">
        <f t="shared" ref="G126:AG126" si="129">SUM(G121:G125)</f>
        <v>5183</v>
      </c>
      <c r="H126" s="303">
        <f t="shared" si="129"/>
        <v>931</v>
      </c>
      <c r="I126" s="303">
        <f t="shared" si="129"/>
        <v>0</v>
      </c>
      <c r="J126" s="303">
        <f t="shared" si="129"/>
        <v>115</v>
      </c>
      <c r="K126" s="303">
        <f t="shared" si="129"/>
        <v>0</v>
      </c>
      <c r="L126" s="303">
        <f t="shared" si="129"/>
        <v>0</v>
      </c>
      <c r="M126" s="303">
        <f t="shared" si="129"/>
        <v>0</v>
      </c>
      <c r="N126" s="303">
        <f t="shared" si="129"/>
        <v>6229</v>
      </c>
      <c r="O126" s="303">
        <f t="shared" si="129"/>
        <v>395.26347038703983</v>
      </c>
      <c r="P126" s="303">
        <f t="shared" si="129"/>
        <v>1728.25</v>
      </c>
      <c r="Q126" s="303">
        <f t="shared" si="129"/>
        <v>0</v>
      </c>
      <c r="R126" s="303">
        <f t="shared" si="129"/>
        <v>0</v>
      </c>
      <c r="S126" s="303">
        <f t="shared" si="129"/>
        <v>0</v>
      </c>
      <c r="T126" s="303">
        <f t="shared" si="129"/>
        <v>0</v>
      </c>
      <c r="U126" s="303">
        <f t="shared" si="129"/>
        <v>0</v>
      </c>
      <c r="V126" s="303">
        <f t="shared" si="129"/>
        <v>0</v>
      </c>
      <c r="W126" s="303">
        <f t="shared" si="129"/>
        <v>0</v>
      </c>
      <c r="X126" s="303">
        <f t="shared" si="129"/>
        <v>0</v>
      </c>
      <c r="Y126" s="303">
        <f t="shared" si="129"/>
        <v>0</v>
      </c>
      <c r="Z126" s="303">
        <f t="shared" si="129"/>
        <v>5183</v>
      </c>
      <c r="AA126" s="303">
        <f t="shared" si="129"/>
        <v>931</v>
      </c>
      <c r="AB126" s="303">
        <f t="shared" si="129"/>
        <v>0</v>
      </c>
      <c r="AC126" s="303">
        <f t="shared" si="129"/>
        <v>115</v>
      </c>
      <c r="AD126" s="303">
        <f t="shared" si="129"/>
        <v>0</v>
      </c>
      <c r="AE126" s="303">
        <f t="shared" si="129"/>
        <v>0</v>
      </c>
      <c r="AF126" s="303">
        <f t="shared" si="129"/>
        <v>0</v>
      </c>
      <c r="AG126" s="303">
        <f t="shared" si="129"/>
        <v>6229</v>
      </c>
      <c r="AH126" s="305">
        <f t="shared" si="114"/>
        <v>78.280813094976281</v>
      </c>
      <c r="AJ126" s="267">
        <v>79.25</v>
      </c>
    </row>
    <row r="127" spans="1:36" x14ac:dyDescent="0.2">
      <c r="A127" s="507">
        <v>9</v>
      </c>
      <c r="B127" s="509" t="s">
        <v>923</v>
      </c>
      <c r="C127" s="509" t="s">
        <v>924</v>
      </c>
      <c r="D127" s="317" t="s">
        <v>925</v>
      </c>
      <c r="E127" s="291">
        <v>2569.75</v>
      </c>
      <c r="F127" s="306">
        <v>10279</v>
      </c>
      <c r="G127" s="293">
        <v>1630</v>
      </c>
      <c r="H127" s="293">
        <v>252</v>
      </c>
      <c r="I127" s="293">
        <v>0</v>
      </c>
      <c r="J127" s="293">
        <v>150</v>
      </c>
      <c r="K127" s="293">
        <v>2</v>
      </c>
      <c r="L127" s="293">
        <v>0</v>
      </c>
      <c r="M127" s="293">
        <v>0</v>
      </c>
      <c r="N127" s="293">
        <f t="shared" ref="N127:N131" si="130">SUM(G127:M127)</f>
        <v>2034</v>
      </c>
      <c r="O127" s="294">
        <f t="shared" ref="O127:O131" si="131">N127/E127*100</f>
        <v>79.151668450238361</v>
      </c>
      <c r="P127" s="295">
        <f t="shared" ref="P127:P131" si="132">E127-N127</f>
        <v>535.75</v>
      </c>
      <c r="Q127" s="293">
        <v>0</v>
      </c>
      <c r="R127" s="293">
        <v>0</v>
      </c>
      <c r="S127" s="293">
        <v>0</v>
      </c>
      <c r="T127" s="293">
        <v>0</v>
      </c>
      <c r="U127" s="293">
        <v>0</v>
      </c>
      <c r="V127" s="293">
        <v>0</v>
      </c>
      <c r="W127" s="293">
        <v>0</v>
      </c>
      <c r="X127" s="293">
        <f t="shared" ref="X127:X131" si="133">Q127+R127+S127+T127+U127+V127+W127</f>
        <v>0</v>
      </c>
      <c r="Y127" s="293">
        <f t="shared" ref="Y127:Y131" si="134">X127/E127*100</f>
        <v>0</v>
      </c>
      <c r="Z127" s="296">
        <f t="shared" ref="Z127:AG131" si="135">G127+Q127</f>
        <v>1630</v>
      </c>
      <c r="AA127" s="297">
        <f t="shared" si="135"/>
        <v>252</v>
      </c>
      <c r="AB127" s="298">
        <f t="shared" si="135"/>
        <v>0</v>
      </c>
      <c r="AC127" s="298">
        <f t="shared" si="135"/>
        <v>150</v>
      </c>
      <c r="AD127" s="298">
        <f t="shared" si="135"/>
        <v>2</v>
      </c>
      <c r="AE127" s="298">
        <f t="shared" si="135"/>
        <v>0</v>
      </c>
      <c r="AF127" s="298">
        <f t="shared" si="135"/>
        <v>0</v>
      </c>
      <c r="AG127" s="298">
        <f t="shared" si="135"/>
        <v>2034</v>
      </c>
      <c r="AH127" s="299">
        <f t="shared" si="114"/>
        <v>79.151668450238361</v>
      </c>
    </row>
    <row r="128" spans="1:36" x14ac:dyDescent="0.2">
      <c r="A128" s="507"/>
      <c r="B128" s="510"/>
      <c r="C128" s="510"/>
      <c r="D128" s="317" t="s">
        <v>926</v>
      </c>
      <c r="E128" s="291">
        <v>1190.75</v>
      </c>
      <c r="F128" s="306">
        <v>4763</v>
      </c>
      <c r="G128" s="293">
        <v>847</v>
      </c>
      <c r="H128" s="293">
        <v>106</v>
      </c>
      <c r="I128" s="293">
        <v>0</v>
      </c>
      <c r="J128" s="293">
        <v>50</v>
      </c>
      <c r="K128" s="293">
        <v>2</v>
      </c>
      <c r="L128" s="293">
        <v>0</v>
      </c>
      <c r="M128" s="293">
        <v>0</v>
      </c>
      <c r="N128" s="293">
        <f t="shared" si="130"/>
        <v>1005</v>
      </c>
      <c r="O128" s="294">
        <f t="shared" si="131"/>
        <v>84.400587864791106</v>
      </c>
      <c r="P128" s="295">
        <f t="shared" si="132"/>
        <v>185.75</v>
      </c>
      <c r="Q128" s="293">
        <v>0</v>
      </c>
      <c r="R128" s="293">
        <v>0</v>
      </c>
      <c r="S128" s="293">
        <v>0</v>
      </c>
      <c r="T128" s="293">
        <v>0</v>
      </c>
      <c r="U128" s="293">
        <v>0</v>
      </c>
      <c r="V128" s="293">
        <v>0</v>
      </c>
      <c r="W128" s="293">
        <v>0</v>
      </c>
      <c r="X128" s="293">
        <f t="shared" si="133"/>
        <v>0</v>
      </c>
      <c r="Y128" s="293">
        <f t="shared" si="134"/>
        <v>0</v>
      </c>
      <c r="Z128" s="296">
        <f t="shared" si="135"/>
        <v>847</v>
      </c>
      <c r="AA128" s="297">
        <f t="shared" si="135"/>
        <v>106</v>
      </c>
      <c r="AB128" s="298">
        <f t="shared" si="135"/>
        <v>0</v>
      </c>
      <c r="AC128" s="298">
        <f t="shared" si="135"/>
        <v>50</v>
      </c>
      <c r="AD128" s="298">
        <f t="shared" si="135"/>
        <v>2</v>
      </c>
      <c r="AE128" s="298">
        <f t="shared" si="135"/>
        <v>0</v>
      </c>
      <c r="AF128" s="298">
        <f t="shared" si="135"/>
        <v>0</v>
      </c>
      <c r="AG128" s="298">
        <f t="shared" si="135"/>
        <v>1005</v>
      </c>
      <c r="AH128" s="299">
        <f t="shared" si="114"/>
        <v>84.400587864791106</v>
      </c>
    </row>
    <row r="129" spans="1:36" x14ac:dyDescent="0.2">
      <c r="A129" s="507"/>
      <c r="B129" s="510"/>
      <c r="C129" s="510"/>
      <c r="D129" s="318" t="s">
        <v>927</v>
      </c>
      <c r="E129" s="291">
        <v>727.25</v>
      </c>
      <c r="F129" s="306">
        <v>2909</v>
      </c>
      <c r="G129" s="293">
        <v>386</v>
      </c>
      <c r="H129" s="293">
        <v>150</v>
      </c>
      <c r="I129" s="293">
        <v>0</v>
      </c>
      <c r="J129" s="293">
        <v>50</v>
      </c>
      <c r="K129" s="293">
        <v>2</v>
      </c>
      <c r="L129" s="293">
        <v>0</v>
      </c>
      <c r="M129" s="293">
        <v>0</v>
      </c>
      <c r="N129" s="293">
        <f t="shared" si="130"/>
        <v>588</v>
      </c>
      <c r="O129" s="294">
        <f t="shared" si="131"/>
        <v>80.852526641457544</v>
      </c>
      <c r="P129" s="295">
        <f t="shared" si="132"/>
        <v>139.25</v>
      </c>
      <c r="Q129" s="293">
        <v>0</v>
      </c>
      <c r="R129" s="293">
        <v>0</v>
      </c>
      <c r="S129" s="293">
        <v>0</v>
      </c>
      <c r="T129" s="293">
        <v>0</v>
      </c>
      <c r="U129" s="293">
        <v>0</v>
      </c>
      <c r="V129" s="293">
        <v>0</v>
      </c>
      <c r="W129" s="293">
        <v>0</v>
      </c>
      <c r="X129" s="293">
        <f t="shared" si="133"/>
        <v>0</v>
      </c>
      <c r="Y129" s="293">
        <f t="shared" si="134"/>
        <v>0</v>
      </c>
      <c r="Z129" s="296">
        <f t="shared" si="135"/>
        <v>386</v>
      </c>
      <c r="AA129" s="297">
        <f t="shared" si="135"/>
        <v>150</v>
      </c>
      <c r="AB129" s="298">
        <f t="shared" si="135"/>
        <v>0</v>
      </c>
      <c r="AC129" s="298">
        <f t="shared" si="135"/>
        <v>50</v>
      </c>
      <c r="AD129" s="298">
        <f t="shared" si="135"/>
        <v>2</v>
      </c>
      <c r="AE129" s="298">
        <f t="shared" si="135"/>
        <v>0</v>
      </c>
      <c r="AF129" s="298">
        <f t="shared" si="135"/>
        <v>0</v>
      </c>
      <c r="AG129" s="298">
        <f t="shared" si="135"/>
        <v>588</v>
      </c>
      <c r="AH129" s="299">
        <f t="shared" si="114"/>
        <v>80.852526641457544</v>
      </c>
    </row>
    <row r="130" spans="1:36" x14ac:dyDescent="0.2">
      <c r="A130" s="507"/>
      <c r="B130" s="510"/>
      <c r="C130" s="510"/>
      <c r="D130" s="317" t="s">
        <v>928</v>
      </c>
      <c r="E130" s="291">
        <v>2357.75</v>
      </c>
      <c r="F130" s="306">
        <v>9431</v>
      </c>
      <c r="G130" s="293">
        <v>1601</v>
      </c>
      <c r="H130" s="293">
        <v>364</v>
      </c>
      <c r="I130" s="293">
        <v>0</v>
      </c>
      <c r="J130" s="293">
        <v>0</v>
      </c>
      <c r="K130" s="293">
        <v>2</v>
      </c>
      <c r="L130" s="293">
        <v>0</v>
      </c>
      <c r="M130" s="293">
        <v>0</v>
      </c>
      <c r="N130" s="293">
        <f t="shared" si="130"/>
        <v>1967</v>
      </c>
      <c r="O130" s="294">
        <f t="shared" si="131"/>
        <v>83.426996076768106</v>
      </c>
      <c r="P130" s="295">
        <f t="shared" si="132"/>
        <v>390.75</v>
      </c>
      <c r="Q130" s="293">
        <v>0</v>
      </c>
      <c r="R130" s="293">
        <v>0</v>
      </c>
      <c r="S130" s="293">
        <v>0</v>
      </c>
      <c r="T130" s="293">
        <v>0</v>
      </c>
      <c r="U130" s="293">
        <v>0</v>
      </c>
      <c r="V130" s="293">
        <v>0</v>
      </c>
      <c r="W130" s="293">
        <v>0</v>
      </c>
      <c r="X130" s="293">
        <f t="shared" si="133"/>
        <v>0</v>
      </c>
      <c r="Y130" s="293">
        <f t="shared" si="134"/>
        <v>0</v>
      </c>
      <c r="Z130" s="296">
        <f t="shared" si="135"/>
        <v>1601</v>
      </c>
      <c r="AA130" s="297">
        <f t="shared" si="135"/>
        <v>364</v>
      </c>
      <c r="AB130" s="298">
        <f t="shared" si="135"/>
        <v>0</v>
      </c>
      <c r="AC130" s="298">
        <f t="shared" si="135"/>
        <v>0</v>
      </c>
      <c r="AD130" s="298">
        <f t="shared" si="135"/>
        <v>2</v>
      </c>
      <c r="AE130" s="298">
        <f t="shared" si="135"/>
        <v>0</v>
      </c>
      <c r="AF130" s="298">
        <f t="shared" si="135"/>
        <v>0</v>
      </c>
      <c r="AG130" s="298">
        <f t="shared" si="135"/>
        <v>1967</v>
      </c>
      <c r="AH130" s="299">
        <f t="shared" si="114"/>
        <v>83.426996076768106</v>
      </c>
    </row>
    <row r="131" spans="1:36" x14ac:dyDescent="0.2">
      <c r="A131" s="507"/>
      <c r="B131" s="510"/>
      <c r="C131" s="510"/>
      <c r="D131" s="318" t="s">
        <v>924</v>
      </c>
      <c r="E131" s="291">
        <v>2681</v>
      </c>
      <c r="F131" s="306">
        <v>10724</v>
      </c>
      <c r="G131" s="293">
        <v>2139</v>
      </c>
      <c r="H131" s="293">
        <v>142</v>
      </c>
      <c r="I131" s="293">
        <v>0</v>
      </c>
      <c r="J131" s="293">
        <v>65</v>
      </c>
      <c r="K131" s="293">
        <v>2</v>
      </c>
      <c r="L131" s="293">
        <v>0</v>
      </c>
      <c r="M131" s="293">
        <v>0</v>
      </c>
      <c r="N131" s="293">
        <f t="shared" si="130"/>
        <v>2348</v>
      </c>
      <c r="O131" s="294">
        <f t="shared" si="131"/>
        <v>87.579261469600894</v>
      </c>
      <c r="P131" s="295">
        <f t="shared" si="132"/>
        <v>333</v>
      </c>
      <c r="Q131" s="293">
        <v>0</v>
      </c>
      <c r="R131" s="293">
        <v>0</v>
      </c>
      <c r="S131" s="293">
        <v>0</v>
      </c>
      <c r="T131" s="293">
        <v>0</v>
      </c>
      <c r="U131" s="293">
        <v>0</v>
      </c>
      <c r="V131" s="293">
        <v>0</v>
      </c>
      <c r="W131" s="293">
        <v>0</v>
      </c>
      <c r="X131" s="293">
        <f t="shared" si="133"/>
        <v>0</v>
      </c>
      <c r="Y131" s="293">
        <f t="shared" si="134"/>
        <v>0</v>
      </c>
      <c r="Z131" s="296">
        <f t="shared" si="135"/>
        <v>2139</v>
      </c>
      <c r="AA131" s="297">
        <f t="shared" si="135"/>
        <v>142</v>
      </c>
      <c r="AB131" s="298">
        <f t="shared" si="135"/>
        <v>0</v>
      </c>
      <c r="AC131" s="298">
        <f t="shared" si="135"/>
        <v>65</v>
      </c>
      <c r="AD131" s="298">
        <f t="shared" si="135"/>
        <v>2</v>
      </c>
      <c r="AE131" s="298">
        <f t="shared" si="135"/>
        <v>0</v>
      </c>
      <c r="AF131" s="298">
        <f t="shared" si="135"/>
        <v>0</v>
      </c>
      <c r="AG131" s="298">
        <f t="shared" si="135"/>
        <v>2348</v>
      </c>
      <c r="AH131" s="299">
        <f t="shared" si="114"/>
        <v>87.579261469600894</v>
      </c>
    </row>
    <row r="132" spans="1:36" x14ac:dyDescent="0.2">
      <c r="A132" s="507"/>
      <c r="B132" s="510"/>
      <c r="C132" s="512"/>
      <c r="D132" s="302" t="s">
        <v>825</v>
      </c>
      <c r="E132" s="303">
        <f>SUM(E127:E131)</f>
        <v>9526.5</v>
      </c>
      <c r="F132" s="303">
        <f>SUM(F127:F131)</f>
        <v>38106</v>
      </c>
      <c r="G132" s="303">
        <f t="shared" ref="G132:AG132" si="136">SUM(G127:G131)</f>
        <v>6603</v>
      </c>
      <c r="H132" s="303">
        <f t="shared" si="136"/>
        <v>1014</v>
      </c>
      <c r="I132" s="303">
        <f t="shared" si="136"/>
        <v>0</v>
      </c>
      <c r="J132" s="303">
        <f t="shared" si="136"/>
        <v>315</v>
      </c>
      <c r="K132" s="303">
        <f t="shared" si="136"/>
        <v>10</v>
      </c>
      <c r="L132" s="303">
        <f t="shared" si="136"/>
        <v>0</v>
      </c>
      <c r="M132" s="303">
        <f t="shared" si="136"/>
        <v>0</v>
      </c>
      <c r="N132" s="303">
        <f t="shared" si="136"/>
        <v>7942</v>
      </c>
      <c r="O132" s="303">
        <f t="shared" si="136"/>
        <v>415.411040502856</v>
      </c>
      <c r="P132" s="303">
        <f t="shared" si="136"/>
        <v>1584.5</v>
      </c>
      <c r="Q132" s="303">
        <f t="shared" si="136"/>
        <v>0</v>
      </c>
      <c r="R132" s="303">
        <f t="shared" si="136"/>
        <v>0</v>
      </c>
      <c r="S132" s="303">
        <f t="shared" si="136"/>
        <v>0</v>
      </c>
      <c r="T132" s="303">
        <f t="shared" si="136"/>
        <v>0</v>
      </c>
      <c r="U132" s="303">
        <f t="shared" si="136"/>
        <v>0</v>
      </c>
      <c r="V132" s="303">
        <f t="shared" si="136"/>
        <v>0</v>
      </c>
      <c r="W132" s="303">
        <f t="shared" si="136"/>
        <v>0</v>
      </c>
      <c r="X132" s="303">
        <f t="shared" si="136"/>
        <v>0</v>
      </c>
      <c r="Y132" s="303">
        <f t="shared" si="136"/>
        <v>0</v>
      </c>
      <c r="Z132" s="303">
        <f t="shared" si="136"/>
        <v>6603</v>
      </c>
      <c r="AA132" s="303">
        <f t="shared" si="136"/>
        <v>1014</v>
      </c>
      <c r="AB132" s="303">
        <f t="shared" si="136"/>
        <v>0</v>
      </c>
      <c r="AC132" s="303">
        <f t="shared" si="136"/>
        <v>315</v>
      </c>
      <c r="AD132" s="303">
        <f t="shared" si="136"/>
        <v>10</v>
      </c>
      <c r="AE132" s="303">
        <f t="shared" si="136"/>
        <v>0</v>
      </c>
      <c r="AF132" s="303">
        <f t="shared" si="136"/>
        <v>0</v>
      </c>
      <c r="AG132" s="303">
        <f t="shared" si="136"/>
        <v>7942</v>
      </c>
      <c r="AH132" s="305">
        <f t="shared" si="114"/>
        <v>83.367448695743448</v>
      </c>
      <c r="AJ132" s="267">
        <v>81.459999999999994</v>
      </c>
    </row>
    <row r="133" spans="1:36" x14ac:dyDescent="0.2">
      <c r="A133" s="507"/>
      <c r="B133" s="510"/>
      <c r="C133" s="509" t="s">
        <v>929</v>
      </c>
      <c r="D133" s="318" t="s">
        <v>930</v>
      </c>
      <c r="E133" s="291">
        <v>762.75</v>
      </c>
      <c r="F133" s="306">
        <v>3051</v>
      </c>
      <c r="G133" s="293">
        <f>280*2</f>
        <v>560</v>
      </c>
      <c r="H133" s="293">
        <v>60</v>
      </c>
      <c r="I133" s="293">
        <v>0</v>
      </c>
      <c r="J133" s="293">
        <v>0</v>
      </c>
      <c r="K133" s="293">
        <v>2</v>
      </c>
      <c r="L133" s="293">
        <v>0</v>
      </c>
      <c r="M133" s="293">
        <v>0</v>
      </c>
      <c r="N133" s="293">
        <f t="shared" ref="N133:N136" si="137">SUM(G133:M133)</f>
        <v>622</v>
      </c>
      <c r="O133" s="294">
        <f t="shared" ref="O133:O136" si="138">N133/E133*100</f>
        <v>81.547033759423144</v>
      </c>
      <c r="P133" s="295">
        <f t="shared" ref="P133:P136" si="139">E133-N133</f>
        <v>140.75</v>
      </c>
      <c r="Q133" s="293">
        <v>0</v>
      </c>
      <c r="R133" s="293">
        <v>0</v>
      </c>
      <c r="S133" s="293">
        <v>0</v>
      </c>
      <c r="T133" s="293">
        <v>0</v>
      </c>
      <c r="U133" s="293">
        <v>0</v>
      </c>
      <c r="V133" s="293">
        <v>0</v>
      </c>
      <c r="W133" s="293">
        <v>0</v>
      </c>
      <c r="X133" s="293">
        <f t="shared" ref="X133:X136" si="140">Q133+R133+S133+T133+U133+V133+W133</f>
        <v>0</v>
      </c>
      <c r="Y133" s="293">
        <f t="shared" ref="Y133:Y136" si="141">X133/E133*100</f>
        <v>0</v>
      </c>
      <c r="Z133" s="296">
        <f t="shared" ref="Z133:AG136" si="142">G133+Q133</f>
        <v>560</v>
      </c>
      <c r="AA133" s="297">
        <f t="shared" si="142"/>
        <v>60</v>
      </c>
      <c r="AB133" s="298">
        <f t="shared" si="142"/>
        <v>0</v>
      </c>
      <c r="AC133" s="298">
        <f t="shared" si="142"/>
        <v>0</v>
      </c>
      <c r="AD133" s="298">
        <f t="shared" si="142"/>
        <v>2</v>
      </c>
      <c r="AE133" s="298">
        <f t="shared" si="142"/>
        <v>0</v>
      </c>
      <c r="AF133" s="298">
        <f t="shared" si="142"/>
        <v>0</v>
      </c>
      <c r="AG133" s="298">
        <f t="shared" si="142"/>
        <v>622</v>
      </c>
      <c r="AH133" s="299">
        <f t="shared" si="114"/>
        <v>81.547033759423144</v>
      </c>
    </row>
    <row r="134" spans="1:36" x14ac:dyDescent="0.2">
      <c r="A134" s="507"/>
      <c r="B134" s="510"/>
      <c r="C134" s="510"/>
      <c r="D134" s="317" t="s">
        <v>929</v>
      </c>
      <c r="E134" s="291">
        <v>2308.5</v>
      </c>
      <c r="F134" s="306">
        <v>9234</v>
      </c>
      <c r="G134" s="293">
        <v>1706</v>
      </c>
      <c r="H134" s="293">
        <v>130</v>
      </c>
      <c r="I134" s="293">
        <v>0</v>
      </c>
      <c r="J134" s="293">
        <v>0</v>
      </c>
      <c r="K134" s="293">
        <v>0</v>
      </c>
      <c r="L134" s="293">
        <v>0</v>
      </c>
      <c r="M134" s="293">
        <v>0</v>
      </c>
      <c r="N134" s="293">
        <f t="shared" si="137"/>
        <v>1836</v>
      </c>
      <c r="O134" s="294">
        <f t="shared" si="138"/>
        <v>79.532163742690059</v>
      </c>
      <c r="P134" s="295">
        <f t="shared" si="139"/>
        <v>472.5</v>
      </c>
      <c r="Q134" s="293">
        <v>0</v>
      </c>
      <c r="R134" s="293">
        <v>0</v>
      </c>
      <c r="S134" s="293">
        <v>0</v>
      </c>
      <c r="T134" s="293">
        <v>0</v>
      </c>
      <c r="U134" s="293">
        <v>0</v>
      </c>
      <c r="V134" s="293">
        <v>0</v>
      </c>
      <c r="W134" s="293">
        <v>0</v>
      </c>
      <c r="X134" s="293">
        <f t="shared" si="140"/>
        <v>0</v>
      </c>
      <c r="Y134" s="293">
        <f t="shared" si="141"/>
        <v>0</v>
      </c>
      <c r="Z134" s="296">
        <f t="shared" si="142"/>
        <v>1706</v>
      </c>
      <c r="AA134" s="297">
        <f t="shared" si="142"/>
        <v>130</v>
      </c>
      <c r="AB134" s="298">
        <f t="shared" si="142"/>
        <v>0</v>
      </c>
      <c r="AC134" s="298">
        <f t="shared" si="142"/>
        <v>0</v>
      </c>
      <c r="AD134" s="298">
        <f t="shared" si="142"/>
        <v>0</v>
      </c>
      <c r="AE134" s="298">
        <f t="shared" si="142"/>
        <v>0</v>
      </c>
      <c r="AF134" s="298">
        <f t="shared" si="142"/>
        <v>0</v>
      </c>
      <c r="AG134" s="298">
        <f t="shared" si="142"/>
        <v>1836</v>
      </c>
      <c r="AH134" s="299">
        <f t="shared" si="114"/>
        <v>79.532163742690059</v>
      </c>
    </row>
    <row r="135" spans="1:36" x14ac:dyDescent="0.2">
      <c r="A135" s="507"/>
      <c r="B135" s="510"/>
      <c r="C135" s="510"/>
      <c r="D135" s="318" t="s">
        <v>931</v>
      </c>
      <c r="E135" s="291">
        <v>815.75</v>
      </c>
      <c r="F135" s="306">
        <v>3263</v>
      </c>
      <c r="G135" s="293">
        <v>629</v>
      </c>
      <c r="H135" s="293">
        <v>60</v>
      </c>
      <c r="I135" s="293">
        <v>0</v>
      </c>
      <c r="J135" s="293">
        <v>0</v>
      </c>
      <c r="K135" s="293">
        <v>4</v>
      </c>
      <c r="L135" s="293">
        <v>0</v>
      </c>
      <c r="M135" s="293">
        <v>0</v>
      </c>
      <c r="N135" s="293">
        <f t="shared" si="137"/>
        <v>693</v>
      </c>
      <c r="O135" s="294">
        <f t="shared" si="138"/>
        <v>84.952497701501684</v>
      </c>
      <c r="P135" s="295">
        <f t="shared" si="139"/>
        <v>122.75</v>
      </c>
      <c r="Q135" s="293">
        <v>0</v>
      </c>
      <c r="R135" s="293">
        <v>0</v>
      </c>
      <c r="S135" s="293">
        <v>0</v>
      </c>
      <c r="T135" s="293">
        <v>0</v>
      </c>
      <c r="U135" s="293">
        <v>0</v>
      </c>
      <c r="V135" s="293">
        <v>0</v>
      </c>
      <c r="W135" s="293">
        <v>0</v>
      </c>
      <c r="X135" s="293">
        <f t="shared" si="140"/>
        <v>0</v>
      </c>
      <c r="Y135" s="293">
        <f t="shared" si="141"/>
        <v>0</v>
      </c>
      <c r="Z135" s="296">
        <f t="shared" si="142"/>
        <v>629</v>
      </c>
      <c r="AA135" s="297">
        <f t="shared" si="142"/>
        <v>60</v>
      </c>
      <c r="AB135" s="298">
        <f t="shared" si="142"/>
        <v>0</v>
      </c>
      <c r="AC135" s="298">
        <f t="shared" si="142"/>
        <v>0</v>
      </c>
      <c r="AD135" s="298">
        <f t="shared" si="142"/>
        <v>4</v>
      </c>
      <c r="AE135" s="298">
        <f t="shared" si="142"/>
        <v>0</v>
      </c>
      <c r="AF135" s="298">
        <f t="shared" si="142"/>
        <v>0</v>
      </c>
      <c r="AG135" s="298">
        <f t="shared" si="142"/>
        <v>693</v>
      </c>
      <c r="AH135" s="299">
        <f t="shared" si="114"/>
        <v>84.952497701501684</v>
      </c>
    </row>
    <row r="136" spans="1:36" x14ac:dyDescent="0.2">
      <c r="A136" s="507"/>
      <c r="B136" s="510"/>
      <c r="C136" s="510"/>
      <c r="D136" s="317" t="s">
        <v>932</v>
      </c>
      <c r="E136" s="291">
        <v>2667.75</v>
      </c>
      <c r="F136" s="306">
        <v>10671</v>
      </c>
      <c r="G136" s="293">
        <v>1888</v>
      </c>
      <c r="H136" s="293">
        <v>32</v>
      </c>
      <c r="I136" s="293">
        <v>0</v>
      </c>
      <c r="J136" s="293">
        <v>0</v>
      </c>
      <c r="K136" s="293">
        <v>2</v>
      </c>
      <c r="L136" s="293">
        <v>0</v>
      </c>
      <c r="M136" s="293">
        <v>0</v>
      </c>
      <c r="N136" s="293">
        <f t="shared" si="137"/>
        <v>1922</v>
      </c>
      <c r="O136" s="294">
        <f t="shared" si="138"/>
        <v>72.045731421609972</v>
      </c>
      <c r="P136" s="295">
        <f t="shared" si="139"/>
        <v>745.75</v>
      </c>
      <c r="Q136" s="293">
        <v>0</v>
      </c>
      <c r="R136" s="293">
        <v>0</v>
      </c>
      <c r="S136" s="293">
        <v>0</v>
      </c>
      <c r="T136" s="293">
        <v>0</v>
      </c>
      <c r="U136" s="293">
        <v>0</v>
      </c>
      <c r="V136" s="293">
        <v>0</v>
      </c>
      <c r="W136" s="293">
        <v>0</v>
      </c>
      <c r="X136" s="293">
        <f t="shared" si="140"/>
        <v>0</v>
      </c>
      <c r="Y136" s="293">
        <f t="shared" si="141"/>
        <v>0</v>
      </c>
      <c r="Z136" s="296">
        <f t="shared" si="142"/>
        <v>1888</v>
      </c>
      <c r="AA136" s="297">
        <f t="shared" si="142"/>
        <v>32</v>
      </c>
      <c r="AB136" s="298">
        <f t="shared" si="142"/>
        <v>0</v>
      </c>
      <c r="AC136" s="298">
        <f t="shared" si="142"/>
        <v>0</v>
      </c>
      <c r="AD136" s="298">
        <f t="shared" si="142"/>
        <v>2</v>
      </c>
      <c r="AE136" s="298">
        <f t="shared" si="142"/>
        <v>0</v>
      </c>
      <c r="AF136" s="298">
        <f t="shared" si="142"/>
        <v>0</v>
      </c>
      <c r="AG136" s="298">
        <f t="shared" si="142"/>
        <v>1922</v>
      </c>
      <c r="AH136" s="299">
        <f t="shared" si="114"/>
        <v>72.045731421609972</v>
      </c>
    </row>
    <row r="137" spans="1:36" x14ac:dyDescent="0.2">
      <c r="A137" s="507"/>
      <c r="B137" s="510"/>
      <c r="C137" s="512"/>
      <c r="D137" s="302" t="s">
        <v>825</v>
      </c>
      <c r="E137" s="303">
        <f>SUM(E133:E136)</f>
        <v>6554.75</v>
      </c>
      <c r="F137" s="303">
        <f>SUM(F133:F136)</f>
        <v>26219</v>
      </c>
      <c r="G137" s="303">
        <f t="shared" ref="G137:AG137" si="143">SUM(G133:G136)</f>
        <v>4783</v>
      </c>
      <c r="H137" s="303">
        <f t="shared" si="143"/>
        <v>282</v>
      </c>
      <c r="I137" s="303">
        <f t="shared" si="143"/>
        <v>0</v>
      </c>
      <c r="J137" s="303">
        <f t="shared" si="143"/>
        <v>0</v>
      </c>
      <c r="K137" s="303">
        <f t="shared" si="143"/>
        <v>8</v>
      </c>
      <c r="L137" s="303">
        <f t="shared" si="143"/>
        <v>0</v>
      </c>
      <c r="M137" s="303">
        <f t="shared" si="143"/>
        <v>0</v>
      </c>
      <c r="N137" s="303">
        <f t="shared" si="143"/>
        <v>5073</v>
      </c>
      <c r="O137" s="303">
        <f t="shared" si="143"/>
        <v>318.07742662522486</v>
      </c>
      <c r="P137" s="303">
        <f t="shared" si="143"/>
        <v>1481.75</v>
      </c>
      <c r="Q137" s="303">
        <f t="shared" si="143"/>
        <v>0</v>
      </c>
      <c r="R137" s="303">
        <f t="shared" si="143"/>
        <v>0</v>
      </c>
      <c r="S137" s="303">
        <f t="shared" si="143"/>
        <v>0</v>
      </c>
      <c r="T137" s="303">
        <f t="shared" si="143"/>
        <v>0</v>
      </c>
      <c r="U137" s="303">
        <f t="shared" si="143"/>
        <v>0</v>
      </c>
      <c r="V137" s="303">
        <f t="shared" si="143"/>
        <v>0</v>
      </c>
      <c r="W137" s="303">
        <f t="shared" si="143"/>
        <v>0</v>
      </c>
      <c r="X137" s="303">
        <f t="shared" si="143"/>
        <v>0</v>
      </c>
      <c r="Y137" s="303">
        <f t="shared" si="143"/>
        <v>0</v>
      </c>
      <c r="Z137" s="303">
        <f t="shared" si="143"/>
        <v>4783</v>
      </c>
      <c r="AA137" s="303">
        <f t="shared" si="143"/>
        <v>282</v>
      </c>
      <c r="AB137" s="303">
        <f t="shared" si="143"/>
        <v>0</v>
      </c>
      <c r="AC137" s="303">
        <f t="shared" si="143"/>
        <v>0</v>
      </c>
      <c r="AD137" s="303">
        <f t="shared" si="143"/>
        <v>8</v>
      </c>
      <c r="AE137" s="303">
        <f t="shared" si="143"/>
        <v>0</v>
      </c>
      <c r="AF137" s="303">
        <f t="shared" si="143"/>
        <v>0</v>
      </c>
      <c r="AG137" s="303">
        <f t="shared" si="143"/>
        <v>5073</v>
      </c>
      <c r="AH137" s="305">
        <f t="shared" si="114"/>
        <v>77.394256073839585</v>
      </c>
      <c r="AJ137" s="267">
        <v>78.349999999999994</v>
      </c>
    </row>
    <row r="138" spans="1:36" x14ac:dyDescent="0.2">
      <c r="A138" s="507"/>
      <c r="B138" s="510"/>
      <c r="C138" s="509" t="s">
        <v>933</v>
      </c>
      <c r="D138" s="318" t="s">
        <v>934</v>
      </c>
      <c r="E138" s="291">
        <v>2334.25</v>
      </c>
      <c r="F138" s="306">
        <v>9337</v>
      </c>
      <c r="G138" s="293">
        <v>1223</v>
      </c>
      <c r="H138" s="293">
        <v>517</v>
      </c>
      <c r="I138" s="293">
        <v>0</v>
      </c>
      <c r="J138" s="293">
        <v>0</v>
      </c>
      <c r="K138" s="293">
        <v>0</v>
      </c>
      <c r="L138" s="293">
        <v>0</v>
      </c>
      <c r="M138" s="293">
        <v>0</v>
      </c>
      <c r="N138" s="293">
        <f t="shared" ref="N138:N141" si="144">SUM(G138:M138)</f>
        <v>1740</v>
      </c>
      <c r="O138" s="294">
        <f t="shared" ref="O138:O141" si="145">N138/E138*100</f>
        <v>74.542144157652345</v>
      </c>
      <c r="P138" s="295">
        <f t="shared" ref="P138:P141" si="146">E138-N138</f>
        <v>594.25</v>
      </c>
      <c r="Q138" s="293">
        <v>0</v>
      </c>
      <c r="R138" s="293">
        <v>0</v>
      </c>
      <c r="S138" s="293">
        <v>0</v>
      </c>
      <c r="T138" s="293">
        <v>0</v>
      </c>
      <c r="U138" s="293">
        <v>0</v>
      </c>
      <c r="V138" s="293">
        <v>0</v>
      </c>
      <c r="W138" s="293">
        <v>0</v>
      </c>
      <c r="X138" s="293">
        <f t="shared" ref="X138:X141" si="147">Q138+R138+S138+T138+U138+V138+W138</f>
        <v>0</v>
      </c>
      <c r="Y138" s="293">
        <f t="shared" ref="Y138:Y141" si="148">X138/E138*100</f>
        <v>0</v>
      </c>
      <c r="Z138" s="296">
        <f t="shared" ref="Z138:AG141" si="149">G138+Q138</f>
        <v>1223</v>
      </c>
      <c r="AA138" s="297">
        <f t="shared" si="149"/>
        <v>517</v>
      </c>
      <c r="AB138" s="298">
        <f t="shared" si="149"/>
        <v>0</v>
      </c>
      <c r="AC138" s="298">
        <f t="shared" si="149"/>
        <v>0</v>
      </c>
      <c r="AD138" s="298">
        <f t="shared" si="149"/>
        <v>0</v>
      </c>
      <c r="AE138" s="298">
        <f t="shared" si="149"/>
        <v>0</v>
      </c>
      <c r="AF138" s="298">
        <f t="shared" si="149"/>
        <v>0</v>
      </c>
      <c r="AG138" s="298">
        <f t="shared" si="149"/>
        <v>1740</v>
      </c>
      <c r="AH138" s="299">
        <f t="shared" si="114"/>
        <v>74.542144157652345</v>
      </c>
    </row>
    <row r="139" spans="1:36" x14ac:dyDescent="0.2">
      <c r="A139" s="507"/>
      <c r="B139" s="510"/>
      <c r="C139" s="510"/>
      <c r="D139" s="317" t="s">
        <v>933</v>
      </c>
      <c r="E139" s="291">
        <v>2972.5</v>
      </c>
      <c r="F139" s="306">
        <v>11890</v>
      </c>
      <c r="G139" s="293">
        <v>1403</v>
      </c>
      <c r="H139" s="293">
        <v>860</v>
      </c>
      <c r="I139" s="293">
        <v>0</v>
      </c>
      <c r="J139" s="293">
        <v>0</v>
      </c>
      <c r="K139" s="293">
        <v>0</v>
      </c>
      <c r="L139" s="293">
        <v>0</v>
      </c>
      <c r="M139" s="293">
        <v>0</v>
      </c>
      <c r="N139" s="293">
        <f t="shared" si="144"/>
        <v>2263</v>
      </c>
      <c r="O139" s="294">
        <f t="shared" si="145"/>
        <v>76.131202691337265</v>
      </c>
      <c r="P139" s="295">
        <f t="shared" si="146"/>
        <v>709.5</v>
      </c>
      <c r="Q139" s="293">
        <v>0</v>
      </c>
      <c r="R139" s="293">
        <v>0</v>
      </c>
      <c r="S139" s="293">
        <v>0</v>
      </c>
      <c r="T139" s="293">
        <v>0</v>
      </c>
      <c r="U139" s="293">
        <v>0</v>
      </c>
      <c r="V139" s="293">
        <v>0</v>
      </c>
      <c r="W139" s="293">
        <v>0</v>
      </c>
      <c r="X139" s="293">
        <f t="shared" si="147"/>
        <v>0</v>
      </c>
      <c r="Y139" s="293">
        <f t="shared" si="148"/>
        <v>0</v>
      </c>
      <c r="Z139" s="296">
        <f t="shared" si="149"/>
        <v>1403</v>
      </c>
      <c r="AA139" s="297">
        <f t="shared" si="149"/>
        <v>860</v>
      </c>
      <c r="AB139" s="298">
        <f t="shared" si="149"/>
        <v>0</v>
      </c>
      <c r="AC139" s="298">
        <f t="shared" si="149"/>
        <v>0</v>
      </c>
      <c r="AD139" s="298">
        <f t="shared" si="149"/>
        <v>0</v>
      </c>
      <c r="AE139" s="298">
        <f t="shared" si="149"/>
        <v>0</v>
      </c>
      <c r="AF139" s="298">
        <f t="shared" si="149"/>
        <v>0</v>
      </c>
      <c r="AG139" s="298">
        <f t="shared" si="149"/>
        <v>2263</v>
      </c>
      <c r="AH139" s="299">
        <f t="shared" si="114"/>
        <v>76.131202691337265</v>
      </c>
    </row>
    <row r="140" spans="1:36" x14ac:dyDescent="0.2">
      <c r="A140" s="507"/>
      <c r="B140" s="510"/>
      <c r="C140" s="510"/>
      <c r="D140" s="318" t="s">
        <v>935</v>
      </c>
      <c r="E140" s="291">
        <v>1029.5</v>
      </c>
      <c r="F140" s="306">
        <v>4118</v>
      </c>
      <c r="G140" s="293">
        <v>760</v>
      </c>
      <c r="H140" s="293">
        <v>0</v>
      </c>
      <c r="I140" s="293">
        <v>0</v>
      </c>
      <c r="J140" s="293">
        <v>0</v>
      </c>
      <c r="K140" s="293">
        <v>0</v>
      </c>
      <c r="L140" s="293">
        <v>0</v>
      </c>
      <c r="M140" s="293">
        <v>0</v>
      </c>
      <c r="N140" s="293">
        <f t="shared" si="144"/>
        <v>760</v>
      </c>
      <c r="O140" s="294">
        <f t="shared" si="145"/>
        <v>73.82224380767363</v>
      </c>
      <c r="P140" s="295">
        <f t="shared" si="146"/>
        <v>269.5</v>
      </c>
      <c r="Q140" s="293">
        <v>0</v>
      </c>
      <c r="R140" s="293">
        <v>0</v>
      </c>
      <c r="S140" s="293">
        <v>0</v>
      </c>
      <c r="T140" s="293">
        <v>0</v>
      </c>
      <c r="U140" s="293">
        <v>0</v>
      </c>
      <c r="V140" s="293">
        <v>0</v>
      </c>
      <c r="W140" s="293">
        <v>0</v>
      </c>
      <c r="X140" s="293">
        <f t="shared" si="147"/>
        <v>0</v>
      </c>
      <c r="Y140" s="293">
        <f t="shared" si="148"/>
        <v>0</v>
      </c>
      <c r="Z140" s="296">
        <f t="shared" si="149"/>
        <v>760</v>
      </c>
      <c r="AA140" s="297">
        <f t="shared" si="149"/>
        <v>0</v>
      </c>
      <c r="AB140" s="298">
        <f t="shared" si="149"/>
        <v>0</v>
      </c>
      <c r="AC140" s="298">
        <f t="shared" si="149"/>
        <v>0</v>
      </c>
      <c r="AD140" s="298">
        <f t="shared" si="149"/>
        <v>0</v>
      </c>
      <c r="AE140" s="298">
        <f t="shared" si="149"/>
        <v>0</v>
      </c>
      <c r="AF140" s="298">
        <f t="shared" si="149"/>
        <v>0</v>
      </c>
      <c r="AG140" s="298">
        <f t="shared" si="149"/>
        <v>760</v>
      </c>
      <c r="AH140" s="299">
        <f t="shared" si="114"/>
        <v>73.82224380767363</v>
      </c>
    </row>
    <row r="141" spans="1:36" x14ac:dyDescent="0.2">
      <c r="A141" s="507"/>
      <c r="B141" s="510"/>
      <c r="C141" s="510"/>
      <c r="D141" s="317" t="s">
        <v>936</v>
      </c>
      <c r="E141" s="291">
        <v>1713</v>
      </c>
      <c r="F141" s="306">
        <v>6852</v>
      </c>
      <c r="G141" s="293">
        <v>1375</v>
      </c>
      <c r="H141" s="293">
        <v>0</v>
      </c>
      <c r="I141" s="293">
        <v>0</v>
      </c>
      <c r="J141" s="293">
        <v>0</v>
      </c>
      <c r="K141" s="293">
        <v>0</v>
      </c>
      <c r="L141" s="293">
        <v>0</v>
      </c>
      <c r="M141" s="293">
        <v>0</v>
      </c>
      <c r="N141" s="293">
        <f t="shared" si="144"/>
        <v>1375</v>
      </c>
      <c r="O141" s="294">
        <f t="shared" si="145"/>
        <v>80.268534734384119</v>
      </c>
      <c r="P141" s="295">
        <f t="shared" si="146"/>
        <v>338</v>
      </c>
      <c r="Q141" s="293">
        <v>0</v>
      </c>
      <c r="R141" s="293">
        <v>0</v>
      </c>
      <c r="S141" s="293">
        <v>0</v>
      </c>
      <c r="T141" s="293">
        <v>0</v>
      </c>
      <c r="U141" s="293">
        <v>0</v>
      </c>
      <c r="V141" s="293">
        <v>0</v>
      </c>
      <c r="W141" s="293">
        <v>0</v>
      </c>
      <c r="X141" s="293">
        <f t="shared" si="147"/>
        <v>0</v>
      </c>
      <c r="Y141" s="293">
        <f t="shared" si="148"/>
        <v>0</v>
      </c>
      <c r="Z141" s="296">
        <f t="shared" si="149"/>
        <v>1375</v>
      </c>
      <c r="AA141" s="297">
        <f t="shared" si="149"/>
        <v>0</v>
      </c>
      <c r="AB141" s="298">
        <f t="shared" si="149"/>
        <v>0</v>
      </c>
      <c r="AC141" s="298">
        <f t="shared" si="149"/>
        <v>0</v>
      </c>
      <c r="AD141" s="298">
        <f t="shared" si="149"/>
        <v>0</v>
      </c>
      <c r="AE141" s="298">
        <f t="shared" si="149"/>
        <v>0</v>
      </c>
      <c r="AF141" s="298">
        <f t="shared" si="149"/>
        <v>0</v>
      </c>
      <c r="AG141" s="298">
        <f t="shared" si="149"/>
        <v>1375</v>
      </c>
      <c r="AH141" s="299">
        <f t="shared" si="114"/>
        <v>80.268534734384119</v>
      </c>
    </row>
    <row r="142" spans="1:36" x14ac:dyDescent="0.2">
      <c r="A142" s="507"/>
      <c r="B142" s="512"/>
      <c r="C142" s="512"/>
      <c r="D142" s="302" t="s">
        <v>825</v>
      </c>
      <c r="E142" s="303">
        <f>SUM(E138:E141)</f>
        <v>8049.25</v>
      </c>
      <c r="F142" s="303">
        <f>SUM(F138:F141)</f>
        <v>32197</v>
      </c>
      <c r="G142" s="303">
        <f t="shared" ref="G142:AG142" si="150">SUM(G138:G141)</f>
        <v>4761</v>
      </c>
      <c r="H142" s="303">
        <f t="shared" si="150"/>
        <v>1377</v>
      </c>
      <c r="I142" s="303">
        <f t="shared" si="150"/>
        <v>0</v>
      </c>
      <c r="J142" s="303">
        <f t="shared" si="150"/>
        <v>0</v>
      </c>
      <c r="K142" s="303">
        <f t="shared" si="150"/>
        <v>0</v>
      </c>
      <c r="L142" s="303">
        <f t="shared" si="150"/>
        <v>0</v>
      </c>
      <c r="M142" s="303">
        <f t="shared" si="150"/>
        <v>0</v>
      </c>
      <c r="N142" s="303">
        <f t="shared" si="150"/>
        <v>6138</v>
      </c>
      <c r="O142" s="303">
        <f t="shared" si="150"/>
        <v>304.76412539104734</v>
      </c>
      <c r="P142" s="303">
        <f t="shared" si="150"/>
        <v>1911.25</v>
      </c>
      <c r="Q142" s="303">
        <f t="shared" si="150"/>
        <v>0</v>
      </c>
      <c r="R142" s="303">
        <f t="shared" si="150"/>
        <v>0</v>
      </c>
      <c r="S142" s="303">
        <f t="shared" si="150"/>
        <v>0</v>
      </c>
      <c r="T142" s="303">
        <f t="shared" si="150"/>
        <v>0</v>
      </c>
      <c r="U142" s="303">
        <f t="shared" si="150"/>
        <v>0</v>
      </c>
      <c r="V142" s="303">
        <f t="shared" si="150"/>
        <v>0</v>
      </c>
      <c r="W142" s="303">
        <f t="shared" si="150"/>
        <v>0</v>
      </c>
      <c r="X142" s="303">
        <f t="shared" si="150"/>
        <v>0</v>
      </c>
      <c r="Y142" s="303">
        <f t="shared" si="150"/>
        <v>0</v>
      </c>
      <c r="Z142" s="303">
        <f t="shared" si="150"/>
        <v>4761</v>
      </c>
      <c r="AA142" s="303">
        <f t="shared" si="150"/>
        <v>1377</v>
      </c>
      <c r="AB142" s="303">
        <f t="shared" si="150"/>
        <v>0</v>
      </c>
      <c r="AC142" s="303">
        <f t="shared" si="150"/>
        <v>0</v>
      </c>
      <c r="AD142" s="303">
        <f t="shared" si="150"/>
        <v>0</v>
      </c>
      <c r="AE142" s="303">
        <f t="shared" si="150"/>
        <v>0</v>
      </c>
      <c r="AF142" s="303">
        <f t="shared" si="150"/>
        <v>0</v>
      </c>
      <c r="AG142" s="303">
        <f t="shared" si="150"/>
        <v>6138</v>
      </c>
      <c r="AH142" s="305">
        <f t="shared" si="114"/>
        <v>76.255551759480696</v>
      </c>
      <c r="AJ142" s="267">
        <v>82.48</v>
      </c>
    </row>
    <row r="143" spans="1:36" x14ac:dyDescent="0.2">
      <c r="A143" s="507">
        <v>10</v>
      </c>
      <c r="B143" s="509" t="s">
        <v>937</v>
      </c>
      <c r="C143" s="509" t="s">
        <v>938</v>
      </c>
      <c r="D143" s="318" t="s">
        <v>938</v>
      </c>
      <c r="E143" s="291">
        <v>2229</v>
      </c>
      <c r="F143" s="306">
        <v>8916</v>
      </c>
      <c r="G143" s="293">
        <f>594*2</f>
        <v>1188</v>
      </c>
      <c r="H143" s="293">
        <v>0</v>
      </c>
      <c r="I143" s="293">
        <v>0</v>
      </c>
      <c r="J143" s="293">
        <v>0</v>
      </c>
      <c r="K143" s="293">
        <v>0</v>
      </c>
      <c r="L143" s="293">
        <v>0</v>
      </c>
      <c r="M143" s="293">
        <v>0</v>
      </c>
      <c r="N143" s="293">
        <f t="shared" ref="N143:N148" si="151">SUM(G143:M143)</f>
        <v>1188</v>
      </c>
      <c r="O143" s="294">
        <f t="shared" ref="O143:O148" si="152">N143/E143*100</f>
        <v>53.297442799461649</v>
      </c>
      <c r="P143" s="295">
        <f t="shared" ref="P143:P148" si="153">E143-N143</f>
        <v>1041</v>
      </c>
      <c r="Q143" s="293">
        <f>38*2</f>
        <v>76</v>
      </c>
      <c r="R143" s="293">
        <v>0</v>
      </c>
      <c r="S143" s="293">
        <v>0</v>
      </c>
      <c r="T143" s="293">
        <v>0</v>
      </c>
      <c r="U143" s="293">
        <v>0</v>
      </c>
      <c r="V143" s="293">
        <v>0</v>
      </c>
      <c r="W143" s="293">
        <v>0</v>
      </c>
      <c r="X143" s="293">
        <f t="shared" ref="X143:X148" si="154">Q143+R143+S143+T143+U143+V143+W143</f>
        <v>76</v>
      </c>
      <c r="Y143" s="293">
        <f t="shared" ref="Y143:Y148" si="155">X143/E143*100</f>
        <v>3.4096007178106778</v>
      </c>
      <c r="Z143" s="296">
        <f t="shared" ref="Z143:AG148" si="156">G143+Q143</f>
        <v>1264</v>
      </c>
      <c r="AA143" s="297">
        <f t="shared" si="156"/>
        <v>0</v>
      </c>
      <c r="AB143" s="298">
        <f t="shared" si="156"/>
        <v>0</v>
      </c>
      <c r="AC143" s="298">
        <f t="shared" si="156"/>
        <v>0</v>
      </c>
      <c r="AD143" s="298">
        <f t="shared" si="156"/>
        <v>0</v>
      </c>
      <c r="AE143" s="298">
        <f t="shared" si="156"/>
        <v>0</v>
      </c>
      <c r="AF143" s="298">
        <f t="shared" si="156"/>
        <v>0</v>
      </c>
      <c r="AG143" s="298">
        <f t="shared" si="156"/>
        <v>1264</v>
      </c>
      <c r="AH143" s="299">
        <f t="shared" si="114"/>
        <v>56.707043517272318</v>
      </c>
    </row>
    <row r="144" spans="1:36" x14ac:dyDescent="0.2">
      <c r="A144" s="507"/>
      <c r="B144" s="510"/>
      <c r="C144" s="510"/>
      <c r="D144" s="317" t="s">
        <v>939</v>
      </c>
      <c r="E144" s="291">
        <v>1386.75</v>
      </c>
      <c r="F144" s="306">
        <v>5547</v>
      </c>
      <c r="G144" s="293">
        <f>411*2</f>
        <v>822</v>
      </c>
      <c r="H144" s="293">
        <v>0</v>
      </c>
      <c r="I144" s="293">
        <v>0</v>
      </c>
      <c r="J144" s="293">
        <v>0</v>
      </c>
      <c r="K144" s="293">
        <v>0</v>
      </c>
      <c r="L144" s="293">
        <v>0</v>
      </c>
      <c r="M144" s="293">
        <v>0</v>
      </c>
      <c r="N144" s="293">
        <f t="shared" si="151"/>
        <v>822</v>
      </c>
      <c r="O144" s="294">
        <f t="shared" si="152"/>
        <v>59.275283937263389</v>
      </c>
      <c r="P144" s="295">
        <f t="shared" si="153"/>
        <v>564.75</v>
      </c>
      <c r="Q144" s="293">
        <f>49*2</f>
        <v>98</v>
      </c>
      <c r="R144" s="293">
        <v>0</v>
      </c>
      <c r="S144" s="293">
        <v>0</v>
      </c>
      <c r="T144" s="293">
        <v>0</v>
      </c>
      <c r="U144" s="293">
        <v>0</v>
      </c>
      <c r="V144" s="293">
        <v>0</v>
      </c>
      <c r="W144" s="293">
        <v>0</v>
      </c>
      <c r="X144" s="293">
        <f t="shared" si="154"/>
        <v>98</v>
      </c>
      <c r="Y144" s="293">
        <f t="shared" si="155"/>
        <v>7.0668829998197218</v>
      </c>
      <c r="Z144" s="296">
        <f t="shared" si="156"/>
        <v>920</v>
      </c>
      <c r="AA144" s="297">
        <f t="shared" si="156"/>
        <v>0</v>
      </c>
      <c r="AB144" s="298">
        <f t="shared" si="156"/>
        <v>0</v>
      </c>
      <c r="AC144" s="298">
        <f t="shared" si="156"/>
        <v>0</v>
      </c>
      <c r="AD144" s="298">
        <f t="shared" si="156"/>
        <v>0</v>
      </c>
      <c r="AE144" s="298">
        <f t="shared" si="156"/>
        <v>0</v>
      </c>
      <c r="AF144" s="298">
        <f t="shared" si="156"/>
        <v>0</v>
      </c>
      <c r="AG144" s="298">
        <f t="shared" si="156"/>
        <v>920</v>
      </c>
      <c r="AH144" s="299">
        <f t="shared" si="114"/>
        <v>66.342166937083107</v>
      </c>
    </row>
    <row r="145" spans="1:36" x14ac:dyDescent="0.2">
      <c r="A145" s="507"/>
      <c r="B145" s="510"/>
      <c r="C145" s="510"/>
      <c r="D145" s="318" t="s">
        <v>940</v>
      </c>
      <c r="E145" s="291">
        <v>1694.75</v>
      </c>
      <c r="F145" s="306">
        <v>6779</v>
      </c>
      <c r="G145" s="293">
        <f>415*2</f>
        <v>830</v>
      </c>
      <c r="H145" s="293">
        <v>0</v>
      </c>
      <c r="I145" s="293">
        <v>0</v>
      </c>
      <c r="J145" s="293">
        <v>0</v>
      </c>
      <c r="K145" s="293">
        <v>0</v>
      </c>
      <c r="L145" s="293">
        <v>0</v>
      </c>
      <c r="M145" s="293">
        <v>0</v>
      </c>
      <c r="N145" s="293">
        <f t="shared" si="151"/>
        <v>830</v>
      </c>
      <c r="O145" s="294">
        <f t="shared" si="152"/>
        <v>48.974775040566456</v>
      </c>
      <c r="P145" s="295">
        <f t="shared" si="153"/>
        <v>864.75</v>
      </c>
      <c r="Q145" s="293">
        <f>97*2</f>
        <v>194</v>
      </c>
      <c r="R145" s="293">
        <v>0</v>
      </c>
      <c r="S145" s="293">
        <v>0</v>
      </c>
      <c r="T145" s="293">
        <v>0</v>
      </c>
      <c r="U145" s="293">
        <v>0</v>
      </c>
      <c r="V145" s="293">
        <v>0</v>
      </c>
      <c r="W145" s="293">
        <v>0</v>
      </c>
      <c r="X145" s="293">
        <f t="shared" si="154"/>
        <v>194</v>
      </c>
      <c r="Y145" s="293">
        <f t="shared" si="155"/>
        <v>11.447116093819147</v>
      </c>
      <c r="Z145" s="296">
        <f t="shared" si="156"/>
        <v>1024</v>
      </c>
      <c r="AA145" s="297">
        <f t="shared" si="156"/>
        <v>0</v>
      </c>
      <c r="AB145" s="298">
        <f t="shared" si="156"/>
        <v>0</v>
      </c>
      <c r="AC145" s="298">
        <f t="shared" si="156"/>
        <v>0</v>
      </c>
      <c r="AD145" s="298">
        <f t="shared" si="156"/>
        <v>0</v>
      </c>
      <c r="AE145" s="298">
        <f t="shared" si="156"/>
        <v>0</v>
      </c>
      <c r="AF145" s="298">
        <f t="shared" si="156"/>
        <v>0</v>
      </c>
      <c r="AG145" s="298">
        <f t="shared" si="156"/>
        <v>1024</v>
      </c>
      <c r="AH145" s="299">
        <f t="shared" si="114"/>
        <v>60.421891134385611</v>
      </c>
    </row>
    <row r="146" spans="1:36" x14ac:dyDescent="0.2">
      <c r="A146" s="507"/>
      <c r="B146" s="510"/>
      <c r="C146" s="510"/>
      <c r="D146" s="317" t="s">
        <v>941</v>
      </c>
      <c r="E146" s="291">
        <v>1938.75</v>
      </c>
      <c r="F146" s="306">
        <v>7755</v>
      </c>
      <c r="G146" s="293">
        <f>480*2</f>
        <v>960</v>
      </c>
      <c r="H146" s="293">
        <v>0</v>
      </c>
      <c r="I146" s="293">
        <v>0</v>
      </c>
      <c r="J146" s="293">
        <v>0</v>
      </c>
      <c r="K146" s="293">
        <v>0</v>
      </c>
      <c r="L146" s="293">
        <v>25</v>
      </c>
      <c r="M146" s="293">
        <v>0</v>
      </c>
      <c r="N146" s="293">
        <f t="shared" si="151"/>
        <v>985</v>
      </c>
      <c r="O146" s="294">
        <f t="shared" si="152"/>
        <v>50.805931656995483</v>
      </c>
      <c r="P146" s="295">
        <f t="shared" si="153"/>
        <v>953.75</v>
      </c>
      <c r="Q146" s="293">
        <f>46*2</f>
        <v>92</v>
      </c>
      <c r="R146" s="293">
        <v>0</v>
      </c>
      <c r="S146" s="293">
        <v>0</v>
      </c>
      <c r="T146" s="293">
        <v>0</v>
      </c>
      <c r="U146" s="293">
        <v>0</v>
      </c>
      <c r="V146" s="293">
        <v>0</v>
      </c>
      <c r="W146" s="293">
        <v>0</v>
      </c>
      <c r="X146" s="293">
        <f t="shared" si="154"/>
        <v>92</v>
      </c>
      <c r="Y146" s="293">
        <f t="shared" si="155"/>
        <v>4.7453255963894261</v>
      </c>
      <c r="Z146" s="296">
        <f t="shared" si="156"/>
        <v>1052</v>
      </c>
      <c r="AA146" s="297">
        <f t="shared" si="156"/>
        <v>0</v>
      </c>
      <c r="AB146" s="298">
        <f t="shared" si="156"/>
        <v>0</v>
      </c>
      <c r="AC146" s="298">
        <f t="shared" si="156"/>
        <v>0</v>
      </c>
      <c r="AD146" s="298">
        <f t="shared" si="156"/>
        <v>0</v>
      </c>
      <c r="AE146" s="298">
        <f t="shared" si="156"/>
        <v>25</v>
      </c>
      <c r="AF146" s="298">
        <f t="shared" si="156"/>
        <v>0</v>
      </c>
      <c r="AG146" s="298">
        <f t="shared" si="156"/>
        <v>1077</v>
      </c>
      <c r="AH146" s="299">
        <f t="shared" si="114"/>
        <v>55.551257253384911</v>
      </c>
    </row>
    <row r="147" spans="1:36" x14ac:dyDescent="0.2">
      <c r="A147" s="507"/>
      <c r="B147" s="510"/>
      <c r="C147" s="510"/>
      <c r="D147" s="317" t="s">
        <v>942</v>
      </c>
      <c r="E147" s="291">
        <v>1334</v>
      </c>
      <c r="F147" s="306">
        <v>5336</v>
      </c>
      <c r="G147" s="293">
        <f>433*2</f>
        <v>866</v>
      </c>
      <c r="H147" s="293">
        <v>0</v>
      </c>
      <c r="I147" s="293">
        <v>20</v>
      </c>
      <c r="J147" s="293">
        <v>60</v>
      </c>
      <c r="K147" s="293">
        <v>0</v>
      </c>
      <c r="L147" s="293">
        <v>0</v>
      </c>
      <c r="M147" s="293">
        <v>0</v>
      </c>
      <c r="N147" s="293">
        <f t="shared" si="151"/>
        <v>946</v>
      </c>
      <c r="O147" s="294">
        <f t="shared" si="152"/>
        <v>70.914542728635681</v>
      </c>
      <c r="P147" s="295">
        <f t="shared" si="153"/>
        <v>388</v>
      </c>
      <c r="Q147" s="293">
        <v>87</v>
      </c>
      <c r="R147" s="293">
        <v>0</v>
      </c>
      <c r="S147" s="293">
        <v>0</v>
      </c>
      <c r="T147" s="293">
        <v>0</v>
      </c>
      <c r="U147" s="293">
        <v>0</v>
      </c>
      <c r="V147" s="293">
        <v>0</v>
      </c>
      <c r="W147" s="293">
        <v>0</v>
      </c>
      <c r="X147" s="293">
        <f t="shared" si="154"/>
        <v>87</v>
      </c>
      <c r="Y147" s="293">
        <f t="shared" si="155"/>
        <v>6.5217391304347823</v>
      </c>
      <c r="Z147" s="296">
        <f t="shared" si="156"/>
        <v>953</v>
      </c>
      <c r="AA147" s="297">
        <f t="shared" si="156"/>
        <v>0</v>
      </c>
      <c r="AB147" s="298">
        <f t="shared" si="156"/>
        <v>20</v>
      </c>
      <c r="AC147" s="298">
        <f t="shared" si="156"/>
        <v>60</v>
      </c>
      <c r="AD147" s="298">
        <f t="shared" si="156"/>
        <v>0</v>
      </c>
      <c r="AE147" s="298">
        <f t="shared" si="156"/>
        <v>0</v>
      </c>
      <c r="AF147" s="298">
        <f t="shared" si="156"/>
        <v>0</v>
      </c>
      <c r="AG147" s="298">
        <f t="shared" si="156"/>
        <v>1033</v>
      </c>
      <c r="AH147" s="299">
        <f t="shared" si="114"/>
        <v>77.436281859070462</v>
      </c>
    </row>
    <row r="148" spans="1:36" x14ac:dyDescent="0.2">
      <c r="A148" s="507"/>
      <c r="B148" s="510"/>
      <c r="C148" s="510"/>
      <c r="D148" s="318" t="s">
        <v>943</v>
      </c>
      <c r="E148" s="291">
        <v>951.75</v>
      </c>
      <c r="F148" s="306">
        <v>3807</v>
      </c>
      <c r="G148" s="293">
        <f>314*2</f>
        <v>628</v>
      </c>
      <c r="H148" s="293">
        <v>0</v>
      </c>
      <c r="I148" s="293">
        <v>0</v>
      </c>
      <c r="J148" s="293">
        <v>0</v>
      </c>
      <c r="K148" s="293">
        <v>0</v>
      </c>
      <c r="L148" s="293">
        <v>0</v>
      </c>
      <c r="M148" s="293">
        <v>0</v>
      </c>
      <c r="N148" s="293">
        <f t="shared" si="151"/>
        <v>628</v>
      </c>
      <c r="O148" s="294">
        <f t="shared" si="152"/>
        <v>65.983714210664573</v>
      </c>
      <c r="P148" s="295">
        <f t="shared" si="153"/>
        <v>323.75</v>
      </c>
      <c r="Q148" s="293">
        <v>49</v>
      </c>
      <c r="R148" s="293">
        <v>0</v>
      </c>
      <c r="S148" s="293">
        <v>0</v>
      </c>
      <c r="T148" s="293">
        <v>0</v>
      </c>
      <c r="U148" s="293">
        <v>0</v>
      </c>
      <c r="V148" s="293">
        <v>0</v>
      </c>
      <c r="W148" s="293">
        <v>0</v>
      </c>
      <c r="X148" s="293">
        <f t="shared" si="154"/>
        <v>49</v>
      </c>
      <c r="Y148" s="293">
        <f t="shared" si="155"/>
        <v>5.148410822169688</v>
      </c>
      <c r="Z148" s="296">
        <f t="shared" si="156"/>
        <v>677</v>
      </c>
      <c r="AA148" s="297">
        <f t="shared" si="156"/>
        <v>0</v>
      </c>
      <c r="AB148" s="298">
        <f t="shared" si="156"/>
        <v>0</v>
      </c>
      <c r="AC148" s="298">
        <f t="shared" si="156"/>
        <v>0</v>
      </c>
      <c r="AD148" s="298">
        <f t="shared" si="156"/>
        <v>0</v>
      </c>
      <c r="AE148" s="298">
        <f t="shared" si="156"/>
        <v>0</v>
      </c>
      <c r="AF148" s="298">
        <f t="shared" si="156"/>
        <v>0</v>
      </c>
      <c r="AG148" s="298">
        <f t="shared" si="156"/>
        <v>677</v>
      </c>
      <c r="AH148" s="299">
        <f t="shared" si="114"/>
        <v>71.132125032834253</v>
      </c>
    </row>
    <row r="149" spans="1:36" x14ac:dyDescent="0.2">
      <c r="A149" s="507"/>
      <c r="B149" s="510"/>
      <c r="C149" s="512"/>
      <c r="D149" s="302" t="s">
        <v>825</v>
      </c>
      <c r="E149" s="303">
        <f>SUM(E143:E148)</f>
        <v>9535</v>
      </c>
      <c r="F149" s="303">
        <f>SUM(F143:F148)</f>
        <v>38140</v>
      </c>
      <c r="G149" s="303">
        <f t="shared" ref="G149:AG149" si="157">SUM(G143:G148)</f>
        <v>5294</v>
      </c>
      <c r="H149" s="303">
        <f t="shared" si="157"/>
        <v>0</v>
      </c>
      <c r="I149" s="303">
        <f t="shared" si="157"/>
        <v>20</v>
      </c>
      <c r="J149" s="303">
        <f t="shared" si="157"/>
        <v>60</v>
      </c>
      <c r="K149" s="303">
        <f t="shared" si="157"/>
        <v>0</v>
      </c>
      <c r="L149" s="303">
        <f t="shared" si="157"/>
        <v>25</v>
      </c>
      <c r="M149" s="303">
        <f t="shared" si="157"/>
        <v>0</v>
      </c>
      <c r="N149" s="303">
        <f t="shared" si="157"/>
        <v>5399</v>
      </c>
      <c r="O149" s="303">
        <f t="shared" si="157"/>
        <v>349.25169037358722</v>
      </c>
      <c r="P149" s="303">
        <f t="shared" si="157"/>
        <v>4136</v>
      </c>
      <c r="Q149" s="303">
        <f t="shared" si="157"/>
        <v>596</v>
      </c>
      <c r="R149" s="303">
        <f t="shared" si="157"/>
        <v>0</v>
      </c>
      <c r="S149" s="303">
        <f t="shared" si="157"/>
        <v>0</v>
      </c>
      <c r="T149" s="303">
        <f t="shared" si="157"/>
        <v>0</v>
      </c>
      <c r="U149" s="303">
        <f t="shared" si="157"/>
        <v>0</v>
      </c>
      <c r="V149" s="303">
        <f t="shared" si="157"/>
        <v>0</v>
      </c>
      <c r="W149" s="303">
        <f t="shared" si="157"/>
        <v>0</v>
      </c>
      <c r="X149" s="303">
        <f t="shared" si="157"/>
        <v>596</v>
      </c>
      <c r="Y149" s="303">
        <f t="shared" si="157"/>
        <v>38.339075360443445</v>
      </c>
      <c r="Z149" s="303">
        <f t="shared" si="157"/>
        <v>5890</v>
      </c>
      <c r="AA149" s="303">
        <f t="shared" si="157"/>
        <v>0</v>
      </c>
      <c r="AB149" s="303">
        <f t="shared" si="157"/>
        <v>20</v>
      </c>
      <c r="AC149" s="303">
        <f t="shared" si="157"/>
        <v>60</v>
      </c>
      <c r="AD149" s="303">
        <f t="shared" si="157"/>
        <v>0</v>
      </c>
      <c r="AE149" s="303">
        <f t="shared" si="157"/>
        <v>25</v>
      </c>
      <c r="AF149" s="303">
        <f t="shared" si="157"/>
        <v>0</v>
      </c>
      <c r="AG149" s="303">
        <f t="shared" si="157"/>
        <v>5995</v>
      </c>
      <c r="AH149" s="305">
        <f t="shared" si="114"/>
        <v>62.873623492396433</v>
      </c>
      <c r="AJ149" s="267">
        <v>62.67</v>
      </c>
    </row>
    <row r="150" spans="1:36" x14ac:dyDescent="0.2">
      <c r="A150" s="507"/>
      <c r="B150" s="510"/>
      <c r="C150" s="509" t="s">
        <v>944</v>
      </c>
      <c r="D150" s="317" t="s">
        <v>945</v>
      </c>
      <c r="E150" s="291">
        <v>850</v>
      </c>
      <c r="F150" s="306">
        <v>3400</v>
      </c>
      <c r="G150" s="293">
        <v>612</v>
      </c>
      <c r="H150" s="293">
        <v>9</v>
      </c>
      <c r="I150" s="293">
        <v>0</v>
      </c>
      <c r="J150" s="293">
        <v>0</v>
      </c>
      <c r="K150" s="293">
        <v>0</v>
      </c>
      <c r="L150" s="293">
        <v>33</v>
      </c>
      <c r="M150" s="293">
        <v>0</v>
      </c>
      <c r="N150" s="293">
        <f t="shared" ref="N150:N154" si="158">SUM(G150:M150)</f>
        <v>654</v>
      </c>
      <c r="O150" s="294">
        <f t="shared" ref="O150:O154" si="159">N150/E150*100</f>
        <v>76.941176470588232</v>
      </c>
      <c r="P150" s="295">
        <f t="shared" ref="P150:P154" si="160">E150-N150</f>
        <v>196</v>
      </c>
      <c r="Q150" s="293">
        <v>0</v>
      </c>
      <c r="R150" s="293">
        <v>0</v>
      </c>
      <c r="S150" s="293">
        <v>0</v>
      </c>
      <c r="T150" s="293">
        <v>0</v>
      </c>
      <c r="U150" s="293">
        <v>0</v>
      </c>
      <c r="V150" s="293">
        <v>0</v>
      </c>
      <c r="W150" s="293">
        <v>0</v>
      </c>
      <c r="X150" s="293">
        <f t="shared" ref="X150:X154" si="161">Q150+R150+S150+T150+U150+V150+W150</f>
        <v>0</v>
      </c>
      <c r="Y150" s="293">
        <f t="shared" ref="Y150:Y154" si="162">X150/E150*100</f>
        <v>0</v>
      </c>
      <c r="Z150" s="296">
        <f t="shared" ref="Z150:AG154" si="163">G150+Q150</f>
        <v>612</v>
      </c>
      <c r="AA150" s="297">
        <f t="shared" si="163"/>
        <v>9</v>
      </c>
      <c r="AB150" s="298">
        <f t="shared" si="163"/>
        <v>0</v>
      </c>
      <c r="AC150" s="298">
        <f t="shared" si="163"/>
        <v>0</v>
      </c>
      <c r="AD150" s="298">
        <f t="shared" si="163"/>
        <v>0</v>
      </c>
      <c r="AE150" s="298">
        <f t="shared" si="163"/>
        <v>33</v>
      </c>
      <c r="AF150" s="298">
        <f t="shared" si="163"/>
        <v>0</v>
      </c>
      <c r="AG150" s="298">
        <f t="shared" si="163"/>
        <v>654</v>
      </c>
      <c r="AH150" s="299">
        <f t="shared" si="114"/>
        <v>76.941176470588232</v>
      </c>
    </row>
    <row r="151" spans="1:36" x14ac:dyDescent="0.2">
      <c r="A151" s="507"/>
      <c r="B151" s="510"/>
      <c r="C151" s="510"/>
      <c r="D151" s="318" t="s">
        <v>944</v>
      </c>
      <c r="E151" s="291">
        <v>1506.25</v>
      </c>
      <c r="F151" s="306">
        <v>6025</v>
      </c>
      <c r="G151" s="293">
        <v>744</v>
      </c>
      <c r="H151" s="293">
        <v>268</v>
      </c>
      <c r="I151" s="293">
        <v>0</v>
      </c>
      <c r="J151" s="293">
        <v>0</v>
      </c>
      <c r="K151" s="293">
        <v>0</v>
      </c>
      <c r="L151" s="293">
        <v>180</v>
      </c>
      <c r="M151" s="293">
        <v>0</v>
      </c>
      <c r="N151" s="293">
        <f t="shared" si="158"/>
        <v>1192</v>
      </c>
      <c r="O151" s="294">
        <f t="shared" si="159"/>
        <v>79.136929460580916</v>
      </c>
      <c r="P151" s="295">
        <f t="shared" si="160"/>
        <v>314.25</v>
      </c>
      <c r="Q151" s="293">
        <v>0</v>
      </c>
      <c r="R151" s="293">
        <v>0</v>
      </c>
      <c r="S151" s="293">
        <v>0</v>
      </c>
      <c r="T151" s="293">
        <v>0</v>
      </c>
      <c r="U151" s="293">
        <v>0</v>
      </c>
      <c r="V151" s="293">
        <v>0</v>
      </c>
      <c r="W151" s="293">
        <v>0</v>
      </c>
      <c r="X151" s="293">
        <f t="shared" si="161"/>
        <v>0</v>
      </c>
      <c r="Y151" s="293">
        <f t="shared" si="162"/>
        <v>0</v>
      </c>
      <c r="Z151" s="296">
        <f t="shared" si="163"/>
        <v>744</v>
      </c>
      <c r="AA151" s="297">
        <f t="shared" si="163"/>
        <v>268</v>
      </c>
      <c r="AB151" s="298">
        <f t="shared" si="163"/>
        <v>0</v>
      </c>
      <c r="AC151" s="298">
        <f t="shared" si="163"/>
        <v>0</v>
      </c>
      <c r="AD151" s="298">
        <f t="shared" si="163"/>
        <v>0</v>
      </c>
      <c r="AE151" s="298">
        <f t="shared" si="163"/>
        <v>180</v>
      </c>
      <c r="AF151" s="298">
        <f t="shared" si="163"/>
        <v>0</v>
      </c>
      <c r="AG151" s="298">
        <f t="shared" si="163"/>
        <v>1192</v>
      </c>
      <c r="AH151" s="299">
        <f t="shared" si="114"/>
        <v>79.136929460580916</v>
      </c>
    </row>
    <row r="152" spans="1:36" x14ac:dyDescent="0.2">
      <c r="A152" s="507"/>
      <c r="B152" s="510"/>
      <c r="C152" s="510"/>
      <c r="D152" s="317" t="s">
        <v>946</v>
      </c>
      <c r="E152" s="291">
        <v>1927</v>
      </c>
      <c r="F152" s="306">
        <v>7708</v>
      </c>
      <c r="G152" s="293">
        <v>1176</v>
      </c>
      <c r="H152" s="293">
        <v>103</v>
      </c>
      <c r="I152" s="293">
        <v>0</v>
      </c>
      <c r="J152" s="293">
        <v>0</v>
      </c>
      <c r="K152" s="293">
        <v>0</v>
      </c>
      <c r="L152" s="293">
        <v>40</v>
      </c>
      <c r="M152" s="293">
        <v>0</v>
      </c>
      <c r="N152" s="293">
        <f t="shared" si="158"/>
        <v>1319</v>
      </c>
      <c r="O152" s="294">
        <f t="shared" si="159"/>
        <v>68.448365334717181</v>
      </c>
      <c r="P152" s="295">
        <f t="shared" si="160"/>
        <v>608</v>
      </c>
      <c r="Q152" s="293">
        <v>0</v>
      </c>
      <c r="R152" s="293">
        <v>0</v>
      </c>
      <c r="S152" s="293">
        <v>0</v>
      </c>
      <c r="T152" s="293">
        <v>0</v>
      </c>
      <c r="U152" s="293">
        <v>0</v>
      </c>
      <c r="V152" s="293">
        <v>0</v>
      </c>
      <c r="W152" s="293">
        <v>0</v>
      </c>
      <c r="X152" s="293">
        <f t="shared" si="161"/>
        <v>0</v>
      </c>
      <c r="Y152" s="293">
        <f t="shared" si="162"/>
        <v>0</v>
      </c>
      <c r="Z152" s="296">
        <f t="shared" si="163"/>
        <v>1176</v>
      </c>
      <c r="AA152" s="297">
        <f t="shared" si="163"/>
        <v>103</v>
      </c>
      <c r="AB152" s="298">
        <f t="shared" si="163"/>
        <v>0</v>
      </c>
      <c r="AC152" s="298">
        <f t="shared" si="163"/>
        <v>0</v>
      </c>
      <c r="AD152" s="298">
        <f t="shared" si="163"/>
        <v>0</v>
      </c>
      <c r="AE152" s="298">
        <f t="shared" si="163"/>
        <v>40</v>
      </c>
      <c r="AF152" s="298">
        <f t="shared" si="163"/>
        <v>0</v>
      </c>
      <c r="AG152" s="298">
        <f t="shared" si="163"/>
        <v>1319</v>
      </c>
      <c r="AH152" s="299">
        <f t="shared" si="114"/>
        <v>68.448365334717181</v>
      </c>
    </row>
    <row r="153" spans="1:36" x14ac:dyDescent="0.2">
      <c r="A153" s="507"/>
      <c r="B153" s="510"/>
      <c r="C153" s="510"/>
      <c r="D153" s="317" t="s">
        <v>947</v>
      </c>
      <c r="E153" s="291">
        <v>1477.25</v>
      </c>
      <c r="F153" s="306">
        <v>5909</v>
      </c>
      <c r="G153" s="293">
        <v>821</v>
      </c>
      <c r="H153" s="293">
        <v>21</v>
      </c>
      <c r="I153" s="293">
        <v>0</v>
      </c>
      <c r="J153" s="293">
        <v>0</v>
      </c>
      <c r="K153" s="293">
        <v>0</v>
      </c>
      <c r="L153" s="293">
        <v>30</v>
      </c>
      <c r="M153" s="293">
        <v>0</v>
      </c>
      <c r="N153" s="293">
        <f t="shared" si="158"/>
        <v>872</v>
      </c>
      <c r="O153" s="294">
        <f t="shared" si="159"/>
        <v>59.02860044000677</v>
      </c>
      <c r="P153" s="295">
        <f t="shared" si="160"/>
        <v>605.25</v>
      </c>
      <c r="Q153" s="293">
        <v>0</v>
      </c>
      <c r="R153" s="293">
        <v>0</v>
      </c>
      <c r="S153" s="293">
        <v>0</v>
      </c>
      <c r="T153" s="293">
        <v>0</v>
      </c>
      <c r="U153" s="293">
        <v>0</v>
      </c>
      <c r="V153" s="293">
        <v>0</v>
      </c>
      <c r="W153" s="293">
        <v>0</v>
      </c>
      <c r="X153" s="293">
        <f t="shared" si="161"/>
        <v>0</v>
      </c>
      <c r="Y153" s="293">
        <f t="shared" si="162"/>
        <v>0</v>
      </c>
      <c r="Z153" s="296">
        <f t="shared" si="163"/>
        <v>821</v>
      </c>
      <c r="AA153" s="297">
        <f t="shared" si="163"/>
        <v>21</v>
      </c>
      <c r="AB153" s="298">
        <f t="shared" si="163"/>
        <v>0</v>
      </c>
      <c r="AC153" s="298">
        <f t="shared" si="163"/>
        <v>0</v>
      </c>
      <c r="AD153" s="298">
        <f t="shared" si="163"/>
        <v>0</v>
      </c>
      <c r="AE153" s="298">
        <f t="shared" si="163"/>
        <v>30</v>
      </c>
      <c r="AF153" s="298">
        <f t="shared" si="163"/>
        <v>0</v>
      </c>
      <c r="AG153" s="298">
        <f t="shared" si="163"/>
        <v>872</v>
      </c>
      <c r="AH153" s="299">
        <f t="shared" si="114"/>
        <v>59.02860044000677</v>
      </c>
    </row>
    <row r="154" spans="1:36" x14ac:dyDescent="0.2">
      <c r="A154" s="507"/>
      <c r="B154" s="510"/>
      <c r="C154" s="510"/>
      <c r="D154" s="318" t="s">
        <v>948</v>
      </c>
      <c r="E154" s="291">
        <v>1773</v>
      </c>
      <c r="F154" s="306">
        <v>7092</v>
      </c>
      <c r="G154" s="293">
        <v>666</v>
      </c>
      <c r="H154" s="293">
        <v>85</v>
      </c>
      <c r="I154" s="293">
        <v>0</v>
      </c>
      <c r="J154" s="293">
        <v>0</v>
      </c>
      <c r="K154" s="293">
        <v>0</v>
      </c>
      <c r="L154" s="293">
        <v>813</v>
      </c>
      <c r="M154" s="293">
        <v>0</v>
      </c>
      <c r="N154" s="293">
        <f t="shared" si="158"/>
        <v>1564</v>
      </c>
      <c r="O154" s="294">
        <f t="shared" si="159"/>
        <v>88.212069937958262</v>
      </c>
      <c r="P154" s="295">
        <f t="shared" si="160"/>
        <v>209</v>
      </c>
      <c r="Q154" s="293">
        <v>0</v>
      </c>
      <c r="R154" s="293">
        <v>0</v>
      </c>
      <c r="S154" s="293">
        <v>0</v>
      </c>
      <c r="T154" s="293">
        <v>0</v>
      </c>
      <c r="U154" s="293">
        <v>0</v>
      </c>
      <c r="V154" s="293">
        <v>0</v>
      </c>
      <c r="W154" s="293">
        <v>0</v>
      </c>
      <c r="X154" s="293">
        <f t="shared" si="161"/>
        <v>0</v>
      </c>
      <c r="Y154" s="293">
        <f t="shared" si="162"/>
        <v>0</v>
      </c>
      <c r="Z154" s="296">
        <f t="shared" si="163"/>
        <v>666</v>
      </c>
      <c r="AA154" s="297">
        <f t="shared" si="163"/>
        <v>85</v>
      </c>
      <c r="AB154" s="298">
        <f t="shared" si="163"/>
        <v>0</v>
      </c>
      <c r="AC154" s="298">
        <f t="shared" si="163"/>
        <v>0</v>
      </c>
      <c r="AD154" s="298">
        <f t="shared" si="163"/>
        <v>0</v>
      </c>
      <c r="AE154" s="298">
        <f t="shared" si="163"/>
        <v>813</v>
      </c>
      <c r="AF154" s="298">
        <f t="shared" si="163"/>
        <v>0</v>
      </c>
      <c r="AG154" s="298">
        <f t="shared" si="163"/>
        <v>1564</v>
      </c>
      <c r="AH154" s="299">
        <f t="shared" si="114"/>
        <v>88.212069937958262</v>
      </c>
    </row>
    <row r="155" spans="1:36" x14ac:dyDescent="0.2">
      <c r="A155" s="516"/>
      <c r="B155" s="512"/>
      <c r="C155" s="512"/>
      <c r="D155" s="302" t="s">
        <v>825</v>
      </c>
      <c r="E155" s="303">
        <f>SUM(E150:E154)</f>
        <v>7533.5</v>
      </c>
      <c r="F155" s="303">
        <f>SUM(F150:F154)</f>
        <v>30134</v>
      </c>
      <c r="G155" s="303">
        <f t="shared" ref="G155:AG155" si="164">SUM(G150:G154)</f>
        <v>4019</v>
      </c>
      <c r="H155" s="303">
        <f t="shared" si="164"/>
        <v>486</v>
      </c>
      <c r="I155" s="303">
        <f t="shared" si="164"/>
        <v>0</v>
      </c>
      <c r="J155" s="303">
        <f t="shared" si="164"/>
        <v>0</v>
      </c>
      <c r="K155" s="303">
        <f t="shared" si="164"/>
        <v>0</v>
      </c>
      <c r="L155" s="303">
        <f t="shared" si="164"/>
        <v>1096</v>
      </c>
      <c r="M155" s="303">
        <f t="shared" si="164"/>
        <v>0</v>
      </c>
      <c r="N155" s="303">
        <f t="shared" si="164"/>
        <v>5601</v>
      </c>
      <c r="O155" s="303">
        <f t="shared" si="164"/>
        <v>371.76714164385135</v>
      </c>
      <c r="P155" s="303">
        <f t="shared" si="164"/>
        <v>1932.5</v>
      </c>
      <c r="Q155" s="303">
        <f t="shared" si="164"/>
        <v>0</v>
      </c>
      <c r="R155" s="303">
        <f t="shared" si="164"/>
        <v>0</v>
      </c>
      <c r="S155" s="303">
        <f t="shared" si="164"/>
        <v>0</v>
      </c>
      <c r="T155" s="303">
        <f t="shared" si="164"/>
        <v>0</v>
      </c>
      <c r="U155" s="303">
        <f t="shared" si="164"/>
        <v>0</v>
      </c>
      <c r="V155" s="303">
        <f t="shared" si="164"/>
        <v>0</v>
      </c>
      <c r="W155" s="303">
        <f t="shared" si="164"/>
        <v>0</v>
      </c>
      <c r="X155" s="303">
        <f t="shared" si="164"/>
        <v>0</v>
      </c>
      <c r="Y155" s="303">
        <f t="shared" si="164"/>
        <v>0</v>
      </c>
      <c r="Z155" s="303">
        <f t="shared" si="164"/>
        <v>4019</v>
      </c>
      <c r="AA155" s="303">
        <f t="shared" si="164"/>
        <v>486</v>
      </c>
      <c r="AB155" s="303">
        <f t="shared" si="164"/>
        <v>0</v>
      </c>
      <c r="AC155" s="303">
        <f t="shared" si="164"/>
        <v>0</v>
      </c>
      <c r="AD155" s="303">
        <f t="shared" si="164"/>
        <v>0</v>
      </c>
      <c r="AE155" s="303">
        <f t="shared" si="164"/>
        <v>1096</v>
      </c>
      <c r="AF155" s="303">
        <f t="shared" si="164"/>
        <v>0</v>
      </c>
      <c r="AG155" s="303">
        <f t="shared" si="164"/>
        <v>5601</v>
      </c>
      <c r="AH155" s="305">
        <f t="shared" si="114"/>
        <v>74.347912656799636</v>
      </c>
      <c r="AJ155" s="267">
        <v>74.25</v>
      </c>
    </row>
    <row r="156" spans="1:36" x14ac:dyDescent="0.2">
      <c r="A156" s="517">
        <v>11</v>
      </c>
      <c r="B156" s="509" t="s">
        <v>949</v>
      </c>
      <c r="C156" s="509" t="s">
        <v>950</v>
      </c>
      <c r="D156" s="317" t="s">
        <v>951</v>
      </c>
      <c r="E156" s="291">
        <v>3027.5</v>
      </c>
      <c r="F156" s="306">
        <v>12110</v>
      </c>
      <c r="G156" s="293">
        <v>1462</v>
      </c>
      <c r="H156" s="293">
        <v>1124</v>
      </c>
      <c r="I156" s="293">
        <v>60</v>
      </c>
      <c r="J156" s="293">
        <v>0</v>
      </c>
      <c r="K156" s="293">
        <v>0</v>
      </c>
      <c r="L156" s="293">
        <v>0</v>
      </c>
      <c r="M156" s="293">
        <v>0</v>
      </c>
      <c r="N156" s="293">
        <f t="shared" ref="N156:N160" si="165">SUM(G156:M156)</f>
        <v>2646</v>
      </c>
      <c r="O156" s="294">
        <f t="shared" ref="O156:O160" si="166">N156/E156*100</f>
        <v>87.398843930635834</v>
      </c>
      <c r="P156" s="295">
        <f t="shared" ref="P156:P160" si="167">E156-N156</f>
        <v>381.5</v>
      </c>
      <c r="Q156" s="293">
        <v>0</v>
      </c>
      <c r="R156" s="293">
        <v>0</v>
      </c>
      <c r="S156" s="293">
        <v>0</v>
      </c>
      <c r="T156" s="293">
        <v>0</v>
      </c>
      <c r="U156" s="293">
        <v>0</v>
      </c>
      <c r="V156" s="293">
        <v>0</v>
      </c>
      <c r="W156" s="293">
        <v>0</v>
      </c>
      <c r="X156" s="293">
        <f t="shared" ref="X156:X160" si="168">Q156+R156+S156+T156+U156+V156+W156</f>
        <v>0</v>
      </c>
      <c r="Y156" s="293">
        <f t="shared" ref="Y156:Y160" si="169">X156/E156*100</f>
        <v>0</v>
      </c>
      <c r="Z156" s="296">
        <f t="shared" ref="Z156:AG160" si="170">G156+Q156</f>
        <v>1462</v>
      </c>
      <c r="AA156" s="297">
        <f t="shared" si="170"/>
        <v>1124</v>
      </c>
      <c r="AB156" s="298">
        <f t="shared" si="170"/>
        <v>60</v>
      </c>
      <c r="AC156" s="298">
        <f t="shared" si="170"/>
        <v>0</v>
      </c>
      <c r="AD156" s="298">
        <f t="shared" si="170"/>
        <v>0</v>
      </c>
      <c r="AE156" s="298">
        <f t="shared" si="170"/>
        <v>0</v>
      </c>
      <c r="AF156" s="298">
        <f t="shared" si="170"/>
        <v>0</v>
      </c>
      <c r="AG156" s="298">
        <f t="shared" si="170"/>
        <v>2646</v>
      </c>
      <c r="AH156" s="299">
        <f t="shared" si="114"/>
        <v>87.398843930635834</v>
      </c>
    </row>
    <row r="157" spans="1:36" x14ac:dyDescent="0.2">
      <c r="A157" s="507"/>
      <c r="B157" s="510"/>
      <c r="C157" s="510"/>
      <c r="D157" s="318" t="s">
        <v>952</v>
      </c>
      <c r="E157" s="291">
        <v>2187.5</v>
      </c>
      <c r="F157" s="306">
        <v>8750</v>
      </c>
      <c r="G157" s="293">
        <v>1528</v>
      </c>
      <c r="H157" s="293">
        <v>120</v>
      </c>
      <c r="I157" s="293">
        <v>0</v>
      </c>
      <c r="J157" s="293">
        <v>0</v>
      </c>
      <c r="K157" s="293">
        <v>0</v>
      </c>
      <c r="L157" s="293">
        <v>0</v>
      </c>
      <c r="M157" s="293">
        <v>0</v>
      </c>
      <c r="N157" s="293">
        <f t="shared" si="165"/>
        <v>1648</v>
      </c>
      <c r="O157" s="294">
        <f t="shared" si="166"/>
        <v>75.337142857142851</v>
      </c>
      <c r="P157" s="295">
        <f t="shared" si="167"/>
        <v>539.5</v>
      </c>
      <c r="Q157" s="293">
        <v>0</v>
      </c>
      <c r="R157" s="293">
        <v>0</v>
      </c>
      <c r="S157" s="293">
        <v>0</v>
      </c>
      <c r="T157" s="293">
        <v>0</v>
      </c>
      <c r="U157" s="293">
        <v>0</v>
      </c>
      <c r="V157" s="293">
        <v>0</v>
      </c>
      <c r="W157" s="293">
        <v>0</v>
      </c>
      <c r="X157" s="293">
        <f t="shared" si="168"/>
        <v>0</v>
      </c>
      <c r="Y157" s="293">
        <f t="shared" si="169"/>
        <v>0</v>
      </c>
      <c r="Z157" s="296">
        <f t="shared" si="170"/>
        <v>1528</v>
      </c>
      <c r="AA157" s="297">
        <f t="shared" si="170"/>
        <v>120</v>
      </c>
      <c r="AB157" s="298">
        <f t="shared" si="170"/>
        <v>0</v>
      </c>
      <c r="AC157" s="298">
        <f t="shared" si="170"/>
        <v>0</v>
      </c>
      <c r="AD157" s="298">
        <f t="shared" si="170"/>
        <v>0</v>
      </c>
      <c r="AE157" s="298">
        <f t="shared" si="170"/>
        <v>0</v>
      </c>
      <c r="AF157" s="298">
        <f t="shared" si="170"/>
        <v>0</v>
      </c>
      <c r="AG157" s="298">
        <f t="shared" si="170"/>
        <v>1648</v>
      </c>
      <c r="AH157" s="299">
        <f t="shared" si="114"/>
        <v>75.337142857142851</v>
      </c>
    </row>
    <row r="158" spans="1:36" x14ac:dyDescent="0.2">
      <c r="A158" s="507"/>
      <c r="B158" s="510"/>
      <c r="C158" s="510"/>
      <c r="D158" s="317" t="s">
        <v>953</v>
      </c>
      <c r="E158" s="291">
        <v>1708.75</v>
      </c>
      <c r="F158" s="306">
        <v>6835</v>
      </c>
      <c r="G158" s="293">
        <v>623</v>
      </c>
      <c r="H158" s="293">
        <v>557</v>
      </c>
      <c r="I158" s="293">
        <v>144</v>
      </c>
      <c r="J158" s="293">
        <v>0</v>
      </c>
      <c r="K158" s="293">
        <v>0</v>
      </c>
      <c r="L158" s="293">
        <v>0</v>
      </c>
      <c r="M158" s="293">
        <v>36</v>
      </c>
      <c r="N158" s="293">
        <f t="shared" si="165"/>
        <v>1360</v>
      </c>
      <c r="O158" s="294">
        <f t="shared" si="166"/>
        <v>79.590343818580834</v>
      </c>
      <c r="P158" s="295">
        <f t="shared" si="167"/>
        <v>348.75</v>
      </c>
      <c r="Q158" s="293">
        <v>0</v>
      </c>
      <c r="R158" s="293">
        <v>0</v>
      </c>
      <c r="S158" s="293">
        <v>0</v>
      </c>
      <c r="T158" s="293">
        <v>0</v>
      </c>
      <c r="U158" s="293">
        <v>0</v>
      </c>
      <c r="V158" s="293">
        <v>0</v>
      </c>
      <c r="W158" s="293">
        <v>0</v>
      </c>
      <c r="X158" s="293">
        <f t="shared" si="168"/>
        <v>0</v>
      </c>
      <c r="Y158" s="293">
        <f t="shared" si="169"/>
        <v>0</v>
      </c>
      <c r="Z158" s="296">
        <f t="shared" si="170"/>
        <v>623</v>
      </c>
      <c r="AA158" s="297">
        <f t="shared" si="170"/>
        <v>557</v>
      </c>
      <c r="AB158" s="298">
        <f t="shared" si="170"/>
        <v>144</v>
      </c>
      <c r="AC158" s="298">
        <f t="shared" si="170"/>
        <v>0</v>
      </c>
      <c r="AD158" s="298">
        <f t="shared" si="170"/>
        <v>0</v>
      </c>
      <c r="AE158" s="298">
        <f t="shared" si="170"/>
        <v>0</v>
      </c>
      <c r="AF158" s="298">
        <f t="shared" si="170"/>
        <v>36</v>
      </c>
      <c r="AG158" s="298">
        <f t="shared" si="170"/>
        <v>1360</v>
      </c>
      <c r="AH158" s="299">
        <f t="shared" si="114"/>
        <v>79.590343818580834</v>
      </c>
    </row>
    <row r="159" spans="1:36" x14ac:dyDescent="0.2">
      <c r="A159" s="507"/>
      <c r="B159" s="510"/>
      <c r="C159" s="510"/>
      <c r="D159" s="318" t="s">
        <v>950</v>
      </c>
      <c r="E159" s="291">
        <v>2182.5</v>
      </c>
      <c r="F159" s="306">
        <v>8730</v>
      </c>
      <c r="G159" s="293">
        <v>846</v>
      </c>
      <c r="H159" s="293">
        <v>1030</v>
      </c>
      <c r="I159" s="293">
        <v>50</v>
      </c>
      <c r="J159" s="293">
        <v>10</v>
      </c>
      <c r="K159" s="293">
        <v>0</v>
      </c>
      <c r="L159" s="293">
        <v>0</v>
      </c>
      <c r="M159" s="293">
        <v>0</v>
      </c>
      <c r="N159" s="293">
        <f t="shared" si="165"/>
        <v>1936</v>
      </c>
      <c r="O159" s="294">
        <f t="shared" si="166"/>
        <v>88.705612829324167</v>
      </c>
      <c r="P159" s="295">
        <f t="shared" si="167"/>
        <v>246.5</v>
      </c>
      <c r="Q159" s="293">
        <v>0</v>
      </c>
      <c r="R159" s="293">
        <v>0</v>
      </c>
      <c r="S159" s="293">
        <v>0</v>
      </c>
      <c r="T159" s="293">
        <v>0</v>
      </c>
      <c r="U159" s="293">
        <v>0</v>
      </c>
      <c r="V159" s="293">
        <v>0</v>
      </c>
      <c r="W159" s="293">
        <v>0</v>
      </c>
      <c r="X159" s="293">
        <f t="shared" si="168"/>
        <v>0</v>
      </c>
      <c r="Y159" s="293">
        <f t="shared" si="169"/>
        <v>0</v>
      </c>
      <c r="Z159" s="296">
        <f t="shared" si="170"/>
        <v>846</v>
      </c>
      <c r="AA159" s="297">
        <f t="shared" si="170"/>
        <v>1030</v>
      </c>
      <c r="AB159" s="298">
        <f t="shared" si="170"/>
        <v>50</v>
      </c>
      <c r="AC159" s="298">
        <f t="shared" si="170"/>
        <v>10</v>
      </c>
      <c r="AD159" s="298">
        <f t="shared" si="170"/>
        <v>0</v>
      </c>
      <c r="AE159" s="298">
        <f t="shared" si="170"/>
        <v>0</v>
      </c>
      <c r="AF159" s="298">
        <f t="shared" si="170"/>
        <v>0</v>
      </c>
      <c r="AG159" s="298">
        <f t="shared" si="170"/>
        <v>1936</v>
      </c>
      <c r="AH159" s="299">
        <f t="shared" si="114"/>
        <v>88.705612829324167</v>
      </c>
    </row>
    <row r="160" spans="1:36" x14ac:dyDescent="0.2">
      <c r="A160" s="507"/>
      <c r="B160" s="510"/>
      <c r="C160" s="510"/>
      <c r="D160" s="317" t="s">
        <v>954</v>
      </c>
      <c r="E160" s="291">
        <v>1204.75</v>
      </c>
      <c r="F160" s="306">
        <v>4819</v>
      </c>
      <c r="G160" s="293">
        <v>374</v>
      </c>
      <c r="H160" s="293">
        <v>508</v>
      </c>
      <c r="I160" s="293">
        <v>36</v>
      </c>
      <c r="J160" s="293">
        <v>0</v>
      </c>
      <c r="K160" s="293">
        <v>0</v>
      </c>
      <c r="L160" s="293">
        <v>0</v>
      </c>
      <c r="M160" s="293">
        <v>26</v>
      </c>
      <c r="N160" s="293">
        <f t="shared" si="165"/>
        <v>944</v>
      </c>
      <c r="O160" s="294">
        <f t="shared" si="166"/>
        <v>78.356505499066202</v>
      </c>
      <c r="P160" s="295">
        <f t="shared" si="167"/>
        <v>260.75</v>
      </c>
      <c r="Q160" s="293">
        <v>0</v>
      </c>
      <c r="R160" s="293">
        <v>0</v>
      </c>
      <c r="S160" s="293">
        <v>0</v>
      </c>
      <c r="T160" s="293">
        <v>0</v>
      </c>
      <c r="U160" s="293">
        <v>0</v>
      </c>
      <c r="V160" s="293">
        <v>0</v>
      </c>
      <c r="W160" s="293">
        <v>0</v>
      </c>
      <c r="X160" s="293">
        <f t="shared" si="168"/>
        <v>0</v>
      </c>
      <c r="Y160" s="293">
        <f t="shared" si="169"/>
        <v>0</v>
      </c>
      <c r="Z160" s="296">
        <f t="shared" si="170"/>
        <v>374</v>
      </c>
      <c r="AA160" s="297">
        <f t="shared" si="170"/>
        <v>508</v>
      </c>
      <c r="AB160" s="298">
        <f t="shared" si="170"/>
        <v>36</v>
      </c>
      <c r="AC160" s="298">
        <f t="shared" si="170"/>
        <v>0</v>
      </c>
      <c r="AD160" s="298">
        <f t="shared" si="170"/>
        <v>0</v>
      </c>
      <c r="AE160" s="298">
        <f t="shared" si="170"/>
        <v>0</v>
      </c>
      <c r="AF160" s="298">
        <f t="shared" si="170"/>
        <v>26</v>
      </c>
      <c r="AG160" s="298">
        <f t="shared" si="170"/>
        <v>944</v>
      </c>
      <c r="AH160" s="299">
        <f t="shared" si="114"/>
        <v>78.356505499066202</v>
      </c>
    </row>
    <row r="161" spans="1:36" x14ac:dyDescent="0.2">
      <c r="A161" s="507"/>
      <c r="B161" s="510"/>
      <c r="C161" s="512"/>
      <c r="D161" s="302" t="s">
        <v>825</v>
      </c>
      <c r="E161" s="303">
        <f>SUM(E156:E160)</f>
        <v>10311</v>
      </c>
      <c r="F161" s="303">
        <f>SUM(F156:F160)</f>
        <v>41244</v>
      </c>
      <c r="G161" s="303">
        <f t="shared" ref="G161:AG161" si="171">SUM(G156:G160)</f>
        <v>4833</v>
      </c>
      <c r="H161" s="303">
        <f t="shared" si="171"/>
        <v>3339</v>
      </c>
      <c r="I161" s="303">
        <f t="shared" si="171"/>
        <v>290</v>
      </c>
      <c r="J161" s="303">
        <f t="shared" si="171"/>
        <v>10</v>
      </c>
      <c r="K161" s="303">
        <f t="shared" si="171"/>
        <v>0</v>
      </c>
      <c r="L161" s="303">
        <f t="shared" si="171"/>
        <v>0</v>
      </c>
      <c r="M161" s="303">
        <f t="shared" si="171"/>
        <v>62</v>
      </c>
      <c r="N161" s="303">
        <f t="shared" si="171"/>
        <v>8534</v>
      </c>
      <c r="O161" s="303">
        <f t="shared" si="171"/>
        <v>409.38844893474993</v>
      </c>
      <c r="P161" s="303">
        <f t="shared" si="171"/>
        <v>1777</v>
      </c>
      <c r="Q161" s="303">
        <f t="shared" si="171"/>
        <v>0</v>
      </c>
      <c r="R161" s="303">
        <f t="shared" si="171"/>
        <v>0</v>
      </c>
      <c r="S161" s="303">
        <f t="shared" si="171"/>
        <v>0</v>
      </c>
      <c r="T161" s="303">
        <f t="shared" si="171"/>
        <v>0</v>
      </c>
      <c r="U161" s="303">
        <f t="shared" si="171"/>
        <v>0</v>
      </c>
      <c r="V161" s="303">
        <f t="shared" si="171"/>
        <v>0</v>
      </c>
      <c r="W161" s="303">
        <f t="shared" si="171"/>
        <v>0</v>
      </c>
      <c r="X161" s="303">
        <f t="shared" si="171"/>
        <v>0</v>
      </c>
      <c r="Y161" s="303">
        <f t="shared" si="171"/>
        <v>0</v>
      </c>
      <c r="Z161" s="303">
        <f t="shared" si="171"/>
        <v>4833</v>
      </c>
      <c r="AA161" s="303">
        <f t="shared" si="171"/>
        <v>3339</v>
      </c>
      <c r="AB161" s="303">
        <f t="shared" si="171"/>
        <v>290</v>
      </c>
      <c r="AC161" s="303">
        <f t="shared" si="171"/>
        <v>10</v>
      </c>
      <c r="AD161" s="303">
        <f t="shared" si="171"/>
        <v>0</v>
      </c>
      <c r="AE161" s="303">
        <f t="shared" si="171"/>
        <v>0</v>
      </c>
      <c r="AF161" s="303">
        <f t="shared" si="171"/>
        <v>62</v>
      </c>
      <c r="AG161" s="303">
        <f t="shared" si="171"/>
        <v>8534</v>
      </c>
      <c r="AH161" s="305">
        <f t="shared" si="114"/>
        <v>82.765978081660364</v>
      </c>
      <c r="AJ161" s="267">
        <v>80.260000000000005</v>
      </c>
    </row>
    <row r="162" spans="1:36" x14ac:dyDescent="0.2">
      <c r="A162" s="507"/>
      <c r="B162" s="510"/>
      <c r="C162" s="509" t="s">
        <v>955</v>
      </c>
      <c r="D162" s="317" t="s">
        <v>956</v>
      </c>
      <c r="E162" s="291">
        <v>2186.5</v>
      </c>
      <c r="F162" s="291">
        <v>8746</v>
      </c>
      <c r="G162" s="293">
        <v>388</v>
      </c>
      <c r="H162" s="293">
        <v>839</v>
      </c>
      <c r="I162" s="293">
        <v>0</v>
      </c>
      <c r="J162" s="293">
        <v>0</v>
      </c>
      <c r="K162" s="293">
        <v>0</v>
      </c>
      <c r="L162" s="293">
        <v>0</v>
      </c>
      <c r="M162" s="293">
        <v>585</v>
      </c>
      <c r="N162" s="293">
        <f t="shared" ref="N162:N166" si="172">SUM(G162:M162)</f>
        <v>1812</v>
      </c>
      <c r="O162" s="294">
        <f t="shared" ref="O162:O166" si="173">N162/E162*100</f>
        <v>82.872170134918818</v>
      </c>
      <c r="P162" s="295">
        <f t="shared" ref="P162:P166" si="174">E162-N162</f>
        <v>374.5</v>
      </c>
      <c r="Q162" s="293">
        <v>0</v>
      </c>
      <c r="R162" s="293">
        <v>0</v>
      </c>
      <c r="S162" s="293">
        <v>0</v>
      </c>
      <c r="T162" s="293">
        <v>0</v>
      </c>
      <c r="U162" s="293">
        <v>0</v>
      </c>
      <c r="V162" s="293">
        <v>0</v>
      </c>
      <c r="W162" s="293">
        <v>0</v>
      </c>
      <c r="X162" s="293">
        <f t="shared" ref="X162:X166" si="175">Q162+R162+S162+T162+U162+V162+W162</f>
        <v>0</v>
      </c>
      <c r="Y162" s="293">
        <f t="shared" ref="Y162:Y166" si="176">X162/E162*100</f>
        <v>0</v>
      </c>
      <c r="Z162" s="296">
        <f t="shared" ref="Z162:AG166" si="177">G162+Q162</f>
        <v>388</v>
      </c>
      <c r="AA162" s="297">
        <f t="shared" si="177"/>
        <v>839</v>
      </c>
      <c r="AB162" s="298">
        <f t="shared" si="177"/>
        <v>0</v>
      </c>
      <c r="AC162" s="298">
        <f t="shared" si="177"/>
        <v>0</v>
      </c>
      <c r="AD162" s="298">
        <f t="shared" si="177"/>
        <v>0</v>
      </c>
      <c r="AE162" s="298">
        <f t="shared" si="177"/>
        <v>0</v>
      </c>
      <c r="AF162" s="298">
        <f t="shared" si="177"/>
        <v>585</v>
      </c>
      <c r="AG162" s="298">
        <f t="shared" si="177"/>
        <v>1812</v>
      </c>
      <c r="AH162" s="299">
        <f t="shared" si="114"/>
        <v>82.872170134918818</v>
      </c>
    </row>
    <row r="163" spans="1:36" x14ac:dyDescent="0.2">
      <c r="A163" s="507"/>
      <c r="B163" s="510"/>
      <c r="C163" s="510"/>
      <c r="D163" s="318" t="s">
        <v>957</v>
      </c>
      <c r="E163" s="291">
        <v>1838.25</v>
      </c>
      <c r="F163" s="291">
        <v>7353</v>
      </c>
      <c r="G163" s="293">
        <v>1044</v>
      </c>
      <c r="H163" s="293">
        <v>412</v>
      </c>
      <c r="I163" s="293">
        <v>0</v>
      </c>
      <c r="J163" s="293">
        <v>0</v>
      </c>
      <c r="K163" s="293">
        <v>0</v>
      </c>
      <c r="L163" s="293">
        <v>0</v>
      </c>
      <c r="M163" s="293">
        <v>184</v>
      </c>
      <c r="N163" s="293">
        <f t="shared" si="172"/>
        <v>1640</v>
      </c>
      <c r="O163" s="294">
        <f t="shared" si="173"/>
        <v>89.215286277709779</v>
      </c>
      <c r="P163" s="295">
        <f t="shared" si="174"/>
        <v>198.25</v>
      </c>
      <c r="Q163" s="293">
        <v>0</v>
      </c>
      <c r="R163" s="293">
        <v>0</v>
      </c>
      <c r="S163" s="293">
        <v>0</v>
      </c>
      <c r="T163" s="293">
        <v>0</v>
      </c>
      <c r="U163" s="293">
        <v>0</v>
      </c>
      <c r="V163" s="293">
        <v>0</v>
      </c>
      <c r="W163" s="293">
        <v>0</v>
      </c>
      <c r="X163" s="293">
        <f t="shared" si="175"/>
        <v>0</v>
      </c>
      <c r="Y163" s="293">
        <f t="shared" si="176"/>
        <v>0</v>
      </c>
      <c r="Z163" s="296">
        <f t="shared" si="177"/>
        <v>1044</v>
      </c>
      <c r="AA163" s="297">
        <f t="shared" si="177"/>
        <v>412</v>
      </c>
      <c r="AB163" s="298">
        <f t="shared" si="177"/>
        <v>0</v>
      </c>
      <c r="AC163" s="298">
        <f t="shared" si="177"/>
        <v>0</v>
      </c>
      <c r="AD163" s="298">
        <f t="shared" si="177"/>
        <v>0</v>
      </c>
      <c r="AE163" s="298">
        <f t="shared" si="177"/>
        <v>0</v>
      </c>
      <c r="AF163" s="298">
        <f t="shared" si="177"/>
        <v>184</v>
      </c>
      <c r="AG163" s="298">
        <f t="shared" si="177"/>
        <v>1640</v>
      </c>
      <c r="AH163" s="299">
        <f t="shared" si="114"/>
        <v>89.215286277709779</v>
      </c>
    </row>
    <row r="164" spans="1:36" x14ac:dyDescent="0.2">
      <c r="A164" s="507"/>
      <c r="B164" s="510"/>
      <c r="C164" s="510"/>
      <c r="D164" s="317" t="s">
        <v>955</v>
      </c>
      <c r="E164" s="291">
        <v>2482.25</v>
      </c>
      <c r="F164" s="291">
        <v>9929</v>
      </c>
      <c r="G164" s="293">
        <v>1746</v>
      </c>
      <c r="H164" s="293">
        <v>523</v>
      </c>
      <c r="I164" s="293">
        <v>0</v>
      </c>
      <c r="J164" s="293">
        <v>0</v>
      </c>
      <c r="K164" s="293">
        <v>0</v>
      </c>
      <c r="L164" s="293">
        <v>0</v>
      </c>
      <c r="M164" s="293">
        <v>50</v>
      </c>
      <c r="N164" s="293">
        <f t="shared" si="172"/>
        <v>2319</v>
      </c>
      <c r="O164" s="294">
        <f t="shared" si="173"/>
        <v>93.423305468828687</v>
      </c>
      <c r="P164" s="295">
        <f t="shared" si="174"/>
        <v>163.25</v>
      </c>
      <c r="Q164" s="293">
        <v>0</v>
      </c>
      <c r="R164" s="293">
        <v>0</v>
      </c>
      <c r="S164" s="293">
        <v>0</v>
      </c>
      <c r="T164" s="293">
        <v>0</v>
      </c>
      <c r="U164" s="293">
        <v>0</v>
      </c>
      <c r="V164" s="293">
        <v>0</v>
      </c>
      <c r="W164" s="293">
        <v>0</v>
      </c>
      <c r="X164" s="293">
        <f t="shared" si="175"/>
        <v>0</v>
      </c>
      <c r="Y164" s="293">
        <f t="shared" si="176"/>
        <v>0</v>
      </c>
      <c r="Z164" s="296">
        <f t="shared" si="177"/>
        <v>1746</v>
      </c>
      <c r="AA164" s="297">
        <f t="shared" si="177"/>
        <v>523</v>
      </c>
      <c r="AB164" s="298">
        <f t="shared" si="177"/>
        <v>0</v>
      </c>
      <c r="AC164" s="298">
        <f t="shared" si="177"/>
        <v>0</v>
      </c>
      <c r="AD164" s="298">
        <f t="shared" si="177"/>
        <v>0</v>
      </c>
      <c r="AE164" s="298">
        <f t="shared" si="177"/>
        <v>0</v>
      </c>
      <c r="AF164" s="298">
        <f t="shared" si="177"/>
        <v>50</v>
      </c>
      <c r="AG164" s="298">
        <f t="shared" si="177"/>
        <v>2319</v>
      </c>
      <c r="AH164" s="299">
        <f t="shared" si="114"/>
        <v>93.423305468828687</v>
      </c>
    </row>
    <row r="165" spans="1:36" x14ac:dyDescent="0.2">
      <c r="A165" s="507"/>
      <c r="B165" s="510"/>
      <c r="C165" s="510"/>
      <c r="D165" s="318" t="s">
        <v>958</v>
      </c>
      <c r="E165" s="291">
        <v>1869.5</v>
      </c>
      <c r="F165" s="291">
        <v>7478</v>
      </c>
      <c r="G165" s="293">
        <v>695</v>
      </c>
      <c r="H165" s="293">
        <v>691</v>
      </c>
      <c r="I165" s="293">
        <v>0</v>
      </c>
      <c r="J165" s="293">
        <v>0</v>
      </c>
      <c r="K165" s="293">
        <v>0</v>
      </c>
      <c r="L165" s="293">
        <v>0</v>
      </c>
      <c r="M165" s="293">
        <v>279</v>
      </c>
      <c r="N165" s="293">
        <f t="shared" si="172"/>
        <v>1665</v>
      </c>
      <c r="O165" s="294">
        <f t="shared" si="173"/>
        <v>89.06124632254614</v>
      </c>
      <c r="P165" s="295">
        <f t="shared" si="174"/>
        <v>204.5</v>
      </c>
      <c r="Q165" s="293">
        <v>0</v>
      </c>
      <c r="R165" s="293">
        <v>0</v>
      </c>
      <c r="S165" s="293">
        <v>0</v>
      </c>
      <c r="T165" s="293">
        <v>0</v>
      </c>
      <c r="U165" s="293">
        <v>0</v>
      </c>
      <c r="V165" s="293">
        <v>0</v>
      </c>
      <c r="W165" s="293">
        <v>0</v>
      </c>
      <c r="X165" s="293">
        <f t="shared" si="175"/>
        <v>0</v>
      </c>
      <c r="Y165" s="293">
        <f t="shared" si="176"/>
        <v>0</v>
      </c>
      <c r="Z165" s="296">
        <f t="shared" si="177"/>
        <v>695</v>
      </c>
      <c r="AA165" s="297">
        <f t="shared" si="177"/>
        <v>691</v>
      </c>
      <c r="AB165" s="298">
        <f t="shared" si="177"/>
        <v>0</v>
      </c>
      <c r="AC165" s="298">
        <f t="shared" si="177"/>
        <v>0</v>
      </c>
      <c r="AD165" s="298">
        <f t="shared" si="177"/>
        <v>0</v>
      </c>
      <c r="AE165" s="298">
        <f t="shared" si="177"/>
        <v>0</v>
      </c>
      <c r="AF165" s="298">
        <f t="shared" si="177"/>
        <v>279</v>
      </c>
      <c r="AG165" s="298">
        <f t="shared" si="177"/>
        <v>1665</v>
      </c>
      <c r="AH165" s="299">
        <f t="shared" si="114"/>
        <v>89.06124632254614</v>
      </c>
    </row>
    <row r="166" spans="1:36" x14ac:dyDescent="0.2">
      <c r="A166" s="507"/>
      <c r="B166" s="510"/>
      <c r="C166" s="510"/>
      <c r="D166" s="318" t="s">
        <v>959</v>
      </c>
      <c r="E166" s="291">
        <v>621.75</v>
      </c>
      <c r="F166" s="291">
        <v>2487</v>
      </c>
      <c r="G166" s="293">
        <v>160</v>
      </c>
      <c r="H166" s="293">
        <v>242</v>
      </c>
      <c r="I166" s="293">
        <v>0</v>
      </c>
      <c r="J166" s="293">
        <v>0</v>
      </c>
      <c r="K166" s="293">
        <v>0</v>
      </c>
      <c r="L166" s="293">
        <v>11</v>
      </c>
      <c r="M166" s="293">
        <v>129</v>
      </c>
      <c r="N166" s="293">
        <f t="shared" si="172"/>
        <v>542</v>
      </c>
      <c r="O166" s="294">
        <f t="shared" si="173"/>
        <v>87.173301166063538</v>
      </c>
      <c r="P166" s="295">
        <f t="shared" si="174"/>
        <v>79.75</v>
      </c>
      <c r="Q166" s="293">
        <v>0</v>
      </c>
      <c r="R166" s="293">
        <v>0</v>
      </c>
      <c r="S166" s="293">
        <v>0</v>
      </c>
      <c r="T166" s="293">
        <v>0</v>
      </c>
      <c r="U166" s="293">
        <v>0</v>
      </c>
      <c r="V166" s="293">
        <v>0</v>
      </c>
      <c r="W166" s="293">
        <v>0</v>
      </c>
      <c r="X166" s="293">
        <f t="shared" si="175"/>
        <v>0</v>
      </c>
      <c r="Y166" s="293">
        <f t="shared" si="176"/>
        <v>0</v>
      </c>
      <c r="Z166" s="296">
        <f t="shared" si="177"/>
        <v>160</v>
      </c>
      <c r="AA166" s="297">
        <f t="shared" si="177"/>
        <v>242</v>
      </c>
      <c r="AB166" s="298">
        <f t="shared" si="177"/>
        <v>0</v>
      </c>
      <c r="AC166" s="298">
        <f t="shared" si="177"/>
        <v>0</v>
      </c>
      <c r="AD166" s="298">
        <f t="shared" si="177"/>
        <v>0</v>
      </c>
      <c r="AE166" s="298">
        <f t="shared" si="177"/>
        <v>11</v>
      </c>
      <c r="AF166" s="298">
        <f t="shared" si="177"/>
        <v>129</v>
      </c>
      <c r="AG166" s="298">
        <f t="shared" si="177"/>
        <v>542</v>
      </c>
      <c r="AH166" s="299">
        <f t="shared" si="114"/>
        <v>87.173301166063538</v>
      </c>
    </row>
    <row r="167" spans="1:36" x14ac:dyDescent="0.2">
      <c r="A167" s="507"/>
      <c r="B167" s="512"/>
      <c r="C167" s="512"/>
      <c r="D167" s="302" t="s">
        <v>825</v>
      </c>
      <c r="E167" s="303">
        <f>SUM(E162:E166)</f>
        <v>8998.25</v>
      </c>
      <c r="F167" s="303">
        <f>SUM(F162:F166)</f>
        <v>35993</v>
      </c>
      <c r="G167" s="303">
        <f t="shared" ref="G167:AG167" si="178">SUM(G162:G166)</f>
        <v>4033</v>
      </c>
      <c r="H167" s="303">
        <f t="shared" si="178"/>
        <v>2707</v>
      </c>
      <c r="I167" s="303">
        <f t="shared" si="178"/>
        <v>0</v>
      </c>
      <c r="J167" s="303">
        <f t="shared" si="178"/>
        <v>0</v>
      </c>
      <c r="K167" s="303">
        <f t="shared" si="178"/>
        <v>0</v>
      </c>
      <c r="L167" s="303">
        <f t="shared" si="178"/>
        <v>11</v>
      </c>
      <c r="M167" s="303">
        <f t="shared" si="178"/>
        <v>1227</v>
      </c>
      <c r="N167" s="303">
        <f t="shared" si="178"/>
        <v>7978</v>
      </c>
      <c r="O167" s="303">
        <f t="shared" si="178"/>
        <v>441.74530937006693</v>
      </c>
      <c r="P167" s="303">
        <f t="shared" si="178"/>
        <v>1020.25</v>
      </c>
      <c r="Q167" s="303">
        <f t="shared" si="178"/>
        <v>0</v>
      </c>
      <c r="R167" s="303">
        <f t="shared" si="178"/>
        <v>0</v>
      </c>
      <c r="S167" s="303">
        <f t="shared" si="178"/>
        <v>0</v>
      </c>
      <c r="T167" s="303">
        <f t="shared" si="178"/>
        <v>0</v>
      </c>
      <c r="U167" s="303">
        <f t="shared" si="178"/>
        <v>0</v>
      </c>
      <c r="V167" s="303">
        <f t="shared" si="178"/>
        <v>0</v>
      </c>
      <c r="W167" s="303">
        <f t="shared" si="178"/>
        <v>0</v>
      </c>
      <c r="X167" s="303">
        <f t="shared" si="178"/>
        <v>0</v>
      </c>
      <c r="Y167" s="303">
        <f t="shared" si="178"/>
        <v>0</v>
      </c>
      <c r="Z167" s="303">
        <f t="shared" si="178"/>
        <v>4033</v>
      </c>
      <c r="AA167" s="303">
        <f t="shared" si="178"/>
        <v>2707</v>
      </c>
      <c r="AB167" s="303">
        <f t="shared" si="178"/>
        <v>0</v>
      </c>
      <c r="AC167" s="303">
        <f t="shared" si="178"/>
        <v>0</v>
      </c>
      <c r="AD167" s="303">
        <f t="shared" si="178"/>
        <v>0</v>
      </c>
      <c r="AE167" s="303">
        <f t="shared" si="178"/>
        <v>11</v>
      </c>
      <c r="AF167" s="303">
        <f t="shared" si="178"/>
        <v>1227</v>
      </c>
      <c r="AG167" s="303">
        <f t="shared" si="178"/>
        <v>7978</v>
      </c>
      <c r="AH167" s="305">
        <f t="shared" si="114"/>
        <v>88.661684216375406</v>
      </c>
      <c r="AJ167" s="267">
        <v>74.91</v>
      </c>
    </row>
    <row r="168" spans="1:36" x14ac:dyDescent="0.2">
      <c r="A168" s="507">
        <v>12</v>
      </c>
      <c r="B168" s="509" t="s">
        <v>960</v>
      </c>
      <c r="C168" s="509" t="s">
        <v>961</v>
      </c>
      <c r="D168" s="325" t="s">
        <v>961</v>
      </c>
      <c r="E168" s="291">
        <v>2009.5</v>
      </c>
      <c r="F168" s="306">
        <v>8038</v>
      </c>
      <c r="G168" s="293">
        <v>126</v>
      </c>
      <c r="H168" s="293">
        <v>1646</v>
      </c>
      <c r="I168" s="293">
        <v>0</v>
      </c>
      <c r="J168" s="293">
        <v>0</v>
      </c>
      <c r="K168" s="293">
        <v>0</v>
      </c>
      <c r="L168" s="293">
        <v>15</v>
      </c>
      <c r="M168" s="293">
        <v>9</v>
      </c>
      <c r="N168" s="293">
        <f t="shared" ref="N168:N172" si="179">SUM(G168:M168)</f>
        <v>1796</v>
      </c>
      <c r="O168" s="294">
        <f t="shared" ref="O168:O172" si="180">N168/E168*100</f>
        <v>89.375466533963674</v>
      </c>
      <c r="P168" s="295">
        <f t="shared" ref="P168:P172" si="181">E168-N168</f>
        <v>213.5</v>
      </c>
      <c r="Q168" s="293">
        <v>0</v>
      </c>
      <c r="R168" s="293">
        <v>0</v>
      </c>
      <c r="S168" s="293">
        <v>0</v>
      </c>
      <c r="T168" s="293">
        <v>0</v>
      </c>
      <c r="U168" s="293">
        <v>0</v>
      </c>
      <c r="V168" s="293">
        <v>0</v>
      </c>
      <c r="W168" s="293">
        <v>0</v>
      </c>
      <c r="X168" s="293">
        <f t="shared" ref="X168:X172" si="182">Q168+R168+S168+T168+U168+V168+W168</f>
        <v>0</v>
      </c>
      <c r="Y168" s="293">
        <f t="shared" ref="Y168:Y172" si="183">X168/E168*100</f>
        <v>0</v>
      </c>
      <c r="Z168" s="296">
        <f t="shared" ref="Z168:AG172" si="184">G168+Q168</f>
        <v>126</v>
      </c>
      <c r="AA168" s="297">
        <f t="shared" si="184"/>
        <v>1646</v>
      </c>
      <c r="AB168" s="298">
        <f t="shared" si="184"/>
        <v>0</v>
      </c>
      <c r="AC168" s="298">
        <f t="shared" si="184"/>
        <v>0</v>
      </c>
      <c r="AD168" s="298">
        <f t="shared" si="184"/>
        <v>0</v>
      </c>
      <c r="AE168" s="298">
        <f t="shared" si="184"/>
        <v>15</v>
      </c>
      <c r="AF168" s="298">
        <f t="shared" si="184"/>
        <v>9</v>
      </c>
      <c r="AG168" s="298">
        <f t="shared" si="184"/>
        <v>1796</v>
      </c>
      <c r="AH168" s="299">
        <f t="shared" si="114"/>
        <v>89.375466533963674</v>
      </c>
    </row>
    <row r="169" spans="1:36" x14ac:dyDescent="0.2">
      <c r="A169" s="507"/>
      <c r="B169" s="510"/>
      <c r="C169" s="510"/>
      <c r="D169" s="320" t="s">
        <v>962</v>
      </c>
      <c r="E169" s="291">
        <v>1980.25</v>
      </c>
      <c r="F169" s="306">
        <v>7921</v>
      </c>
      <c r="G169" s="293">
        <v>64</v>
      </c>
      <c r="H169" s="293">
        <v>1626</v>
      </c>
      <c r="I169" s="293">
        <v>0</v>
      </c>
      <c r="J169" s="293">
        <v>0</v>
      </c>
      <c r="K169" s="293">
        <v>0</v>
      </c>
      <c r="L169" s="293">
        <v>7</v>
      </c>
      <c r="M169" s="293">
        <v>12</v>
      </c>
      <c r="N169" s="293">
        <f t="shared" si="179"/>
        <v>1709</v>
      </c>
      <c r="O169" s="294">
        <f t="shared" si="180"/>
        <v>86.302234566342634</v>
      </c>
      <c r="P169" s="295">
        <f t="shared" si="181"/>
        <v>271.25</v>
      </c>
      <c r="Q169" s="293">
        <v>0</v>
      </c>
      <c r="R169" s="293">
        <v>0</v>
      </c>
      <c r="S169" s="293">
        <v>0</v>
      </c>
      <c r="T169" s="293">
        <v>0</v>
      </c>
      <c r="U169" s="293">
        <v>0</v>
      </c>
      <c r="V169" s="293">
        <v>0</v>
      </c>
      <c r="W169" s="293">
        <v>0</v>
      </c>
      <c r="X169" s="293">
        <f t="shared" si="182"/>
        <v>0</v>
      </c>
      <c r="Y169" s="293">
        <f t="shared" si="183"/>
        <v>0</v>
      </c>
      <c r="Z169" s="296">
        <f t="shared" si="184"/>
        <v>64</v>
      </c>
      <c r="AA169" s="297">
        <f t="shared" si="184"/>
        <v>1626</v>
      </c>
      <c r="AB169" s="298">
        <f t="shared" si="184"/>
        <v>0</v>
      </c>
      <c r="AC169" s="298">
        <f t="shared" si="184"/>
        <v>0</v>
      </c>
      <c r="AD169" s="298">
        <f t="shared" si="184"/>
        <v>0</v>
      </c>
      <c r="AE169" s="298">
        <f t="shared" si="184"/>
        <v>7</v>
      </c>
      <c r="AF169" s="298">
        <f t="shared" si="184"/>
        <v>12</v>
      </c>
      <c r="AG169" s="298">
        <f t="shared" si="184"/>
        <v>1709</v>
      </c>
      <c r="AH169" s="299">
        <f t="shared" si="114"/>
        <v>86.302234566342634</v>
      </c>
    </row>
    <row r="170" spans="1:36" x14ac:dyDescent="0.2">
      <c r="A170" s="507"/>
      <c r="B170" s="510"/>
      <c r="C170" s="510"/>
      <c r="D170" s="320" t="s">
        <v>963</v>
      </c>
      <c r="E170" s="291">
        <v>1798.5</v>
      </c>
      <c r="F170" s="306">
        <v>7194</v>
      </c>
      <c r="G170" s="293">
        <v>13</v>
      </c>
      <c r="H170" s="293">
        <v>1555</v>
      </c>
      <c r="I170" s="293">
        <v>0</v>
      </c>
      <c r="J170" s="293">
        <v>0</v>
      </c>
      <c r="K170" s="293">
        <v>0</v>
      </c>
      <c r="L170" s="293">
        <v>7</v>
      </c>
      <c r="M170" s="293">
        <v>5</v>
      </c>
      <c r="N170" s="293">
        <f t="shared" si="179"/>
        <v>1580</v>
      </c>
      <c r="O170" s="294">
        <f t="shared" si="180"/>
        <v>87.850986933555745</v>
      </c>
      <c r="P170" s="295">
        <f t="shared" si="181"/>
        <v>218.5</v>
      </c>
      <c r="Q170" s="293">
        <v>0</v>
      </c>
      <c r="R170" s="293">
        <v>0</v>
      </c>
      <c r="S170" s="293">
        <v>0</v>
      </c>
      <c r="T170" s="293">
        <v>0</v>
      </c>
      <c r="U170" s="293">
        <v>0</v>
      </c>
      <c r="V170" s="293">
        <v>0</v>
      </c>
      <c r="W170" s="293">
        <v>0</v>
      </c>
      <c r="X170" s="293">
        <f t="shared" si="182"/>
        <v>0</v>
      </c>
      <c r="Y170" s="293">
        <f t="shared" si="183"/>
        <v>0</v>
      </c>
      <c r="Z170" s="296">
        <f t="shared" si="184"/>
        <v>13</v>
      </c>
      <c r="AA170" s="297">
        <f t="shared" si="184"/>
        <v>1555</v>
      </c>
      <c r="AB170" s="298">
        <f t="shared" si="184"/>
        <v>0</v>
      </c>
      <c r="AC170" s="298">
        <f t="shared" si="184"/>
        <v>0</v>
      </c>
      <c r="AD170" s="298">
        <f t="shared" si="184"/>
        <v>0</v>
      </c>
      <c r="AE170" s="298">
        <f t="shared" si="184"/>
        <v>7</v>
      </c>
      <c r="AF170" s="298">
        <f t="shared" si="184"/>
        <v>5</v>
      </c>
      <c r="AG170" s="298">
        <f t="shared" si="184"/>
        <v>1580</v>
      </c>
      <c r="AH170" s="299">
        <f t="shared" si="114"/>
        <v>87.850986933555745</v>
      </c>
    </row>
    <row r="171" spans="1:36" x14ac:dyDescent="0.2">
      <c r="A171" s="507"/>
      <c r="B171" s="510"/>
      <c r="C171" s="510"/>
      <c r="D171" s="320" t="s">
        <v>964</v>
      </c>
      <c r="E171" s="291">
        <v>1143.75</v>
      </c>
      <c r="F171" s="306">
        <v>4575</v>
      </c>
      <c r="G171" s="293">
        <f>242*2</f>
        <v>484</v>
      </c>
      <c r="H171" s="293">
        <v>445</v>
      </c>
      <c r="I171" s="293">
        <v>0</v>
      </c>
      <c r="J171" s="293">
        <v>0</v>
      </c>
      <c r="K171" s="293">
        <v>0</v>
      </c>
      <c r="L171" s="293">
        <v>6</v>
      </c>
      <c r="M171" s="293">
        <v>32</v>
      </c>
      <c r="N171" s="293">
        <f t="shared" si="179"/>
        <v>967</v>
      </c>
      <c r="O171" s="294">
        <f t="shared" si="180"/>
        <v>84.546448087431685</v>
      </c>
      <c r="P171" s="295">
        <f t="shared" si="181"/>
        <v>176.75</v>
      </c>
      <c r="Q171" s="293">
        <v>0</v>
      </c>
      <c r="R171" s="293">
        <v>0</v>
      </c>
      <c r="S171" s="293">
        <v>0</v>
      </c>
      <c r="T171" s="293">
        <v>0</v>
      </c>
      <c r="U171" s="293">
        <v>0</v>
      </c>
      <c r="V171" s="293">
        <v>0</v>
      </c>
      <c r="W171" s="293">
        <v>0</v>
      </c>
      <c r="X171" s="293">
        <f t="shared" si="182"/>
        <v>0</v>
      </c>
      <c r="Y171" s="293">
        <f t="shared" si="183"/>
        <v>0</v>
      </c>
      <c r="Z171" s="296">
        <f t="shared" si="184"/>
        <v>484</v>
      </c>
      <c r="AA171" s="297">
        <f t="shared" si="184"/>
        <v>445</v>
      </c>
      <c r="AB171" s="298">
        <f t="shared" si="184"/>
        <v>0</v>
      </c>
      <c r="AC171" s="298">
        <f t="shared" si="184"/>
        <v>0</v>
      </c>
      <c r="AD171" s="298">
        <f t="shared" si="184"/>
        <v>0</v>
      </c>
      <c r="AE171" s="298">
        <f t="shared" si="184"/>
        <v>6</v>
      </c>
      <c r="AF171" s="298">
        <f t="shared" si="184"/>
        <v>32</v>
      </c>
      <c r="AG171" s="298">
        <f t="shared" si="184"/>
        <v>967</v>
      </c>
      <c r="AH171" s="299">
        <f t="shared" si="114"/>
        <v>84.546448087431685</v>
      </c>
    </row>
    <row r="172" spans="1:36" x14ac:dyDescent="0.2">
      <c r="A172" s="507"/>
      <c r="B172" s="510"/>
      <c r="C172" s="510"/>
      <c r="D172" s="320" t="s">
        <v>965</v>
      </c>
      <c r="E172" s="291">
        <v>1663.25</v>
      </c>
      <c r="F172" s="306">
        <v>6653</v>
      </c>
      <c r="G172" s="293">
        <v>44</v>
      </c>
      <c r="H172" s="293">
        <v>1345</v>
      </c>
      <c r="I172" s="293">
        <v>0</v>
      </c>
      <c r="J172" s="293">
        <v>0</v>
      </c>
      <c r="K172" s="293">
        <v>0</v>
      </c>
      <c r="L172" s="293">
        <v>2</v>
      </c>
      <c r="M172" s="293">
        <v>4</v>
      </c>
      <c r="N172" s="293">
        <f t="shared" si="179"/>
        <v>1395</v>
      </c>
      <c r="O172" s="294">
        <f t="shared" si="180"/>
        <v>83.871937471817233</v>
      </c>
      <c r="P172" s="295">
        <f t="shared" si="181"/>
        <v>268.25</v>
      </c>
      <c r="Q172" s="293">
        <v>0</v>
      </c>
      <c r="R172" s="293">
        <v>0</v>
      </c>
      <c r="S172" s="293">
        <v>0</v>
      </c>
      <c r="T172" s="293">
        <v>0</v>
      </c>
      <c r="U172" s="293">
        <v>0</v>
      </c>
      <c r="V172" s="293">
        <v>0</v>
      </c>
      <c r="W172" s="293">
        <v>0</v>
      </c>
      <c r="X172" s="293">
        <f t="shared" si="182"/>
        <v>0</v>
      </c>
      <c r="Y172" s="293">
        <f t="shared" si="183"/>
        <v>0</v>
      </c>
      <c r="Z172" s="296">
        <f t="shared" si="184"/>
        <v>44</v>
      </c>
      <c r="AA172" s="297">
        <f t="shared" si="184"/>
        <v>1345</v>
      </c>
      <c r="AB172" s="298">
        <f t="shared" si="184"/>
        <v>0</v>
      </c>
      <c r="AC172" s="298">
        <f t="shared" si="184"/>
        <v>0</v>
      </c>
      <c r="AD172" s="298">
        <f t="shared" si="184"/>
        <v>0</v>
      </c>
      <c r="AE172" s="298">
        <f t="shared" si="184"/>
        <v>2</v>
      </c>
      <c r="AF172" s="298">
        <f t="shared" si="184"/>
        <v>4</v>
      </c>
      <c r="AG172" s="298">
        <f t="shared" si="184"/>
        <v>1395</v>
      </c>
      <c r="AH172" s="299">
        <f t="shared" si="114"/>
        <v>83.871937471817233</v>
      </c>
    </row>
    <row r="173" spans="1:36" x14ac:dyDescent="0.2">
      <c r="A173" s="507"/>
      <c r="B173" s="510"/>
      <c r="C173" s="512"/>
      <c r="D173" s="307" t="s">
        <v>825</v>
      </c>
      <c r="E173" s="303">
        <f>SUM(E168:E172)</f>
        <v>8595.25</v>
      </c>
      <c r="F173" s="303">
        <f>SUM(F168:F172)</f>
        <v>34381</v>
      </c>
      <c r="G173" s="303">
        <f t="shared" ref="G173:AG173" si="185">SUM(G168:G172)</f>
        <v>731</v>
      </c>
      <c r="H173" s="303">
        <f t="shared" si="185"/>
        <v>6617</v>
      </c>
      <c r="I173" s="303">
        <f t="shared" si="185"/>
        <v>0</v>
      </c>
      <c r="J173" s="303">
        <f t="shared" si="185"/>
        <v>0</v>
      </c>
      <c r="K173" s="303">
        <f t="shared" si="185"/>
        <v>0</v>
      </c>
      <c r="L173" s="303">
        <f t="shared" si="185"/>
        <v>37</v>
      </c>
      <c r="M173" s="303">
        <f t="shared" si="185"/>
        <v>62</v>
      </c>
      <c r="N173" s="303">
        <f t="shared" si="185"/>
        <v>7447</v>
      </c>
      <c r="O173" s="303">
        <f t="shared" si="185"/>
        <v>431.94707359311099</v>
      </c>
      <c r="P173" s="303">
        <f t="shared" si="185"/>
        <v>1148.25</v>
      </c>
      <c r="Q173" s="303">
        <f t="shared" si="185"/>
        <v>0</v>
      </c>
      <c r="R173" s="303">
        <f t="shared" si="185"/>
        <v>0</v>
      </c>
      <c r="S173" s="303">
        <f t="shared" si="185"/>
        <v>0</v>
      </c>
      <c r="T173" s="303">
        <f t="shared" si="185"/>
        <v>0</v>
      </c>
      <c r="U173" s="303">
        <f t="shared" si="185"/>
        <v>0</v>
      </c>
      <c r="V173" s="303">
        <f t="shared" si="185"/>
        <v>0</v>
      </c>
      <c r="W173" s="303">
        <f t="shared" si="185"/>
        <v>0</v>
      </c>
      <c r="X173" s="303">
        <f t="shared" si="185"/>
        <v>0</v>
      </c>
      <c r="Y173" s="303">
        <f t="shared" si="185"/>
        <v>0</v>
      </c>
      <c r="Z173" s="303">
        <f t="shared" si="185"/>
        <v>731</v>
      </c>
      <c r="AA173" s="303">
        <f t="shared" si="185"/>
        <v>6617</v>
      </c>
      <c r="AB173" s="303">
        <f t="shared" si="185"/>
        <v>0</v>
      </c>
      <c r="AC173" s="303">
        <f t="shared" si="185"/>
        <v>0</v>
      </c>
      <c r="AD173" s="303">
        <f t="shared" si="185"/>
        <v>0</v>
      </c>
      <c r="AE173" s="303">
        <f t="shared" si="185"/>
        <v>37</v>
      </c>
      <c r="AF173" s="303">
        <f t="shared" si="185"/>
        <v>62</v>
      </c>
      <c r="AG173" s="303">
        <f t="shared" si="185"/>
        <v>7447</v>
      </c>
      <c r="AH173" s="305">
        <f t="shared" si="114"/>
        <v>86.640877228701896</v>
      </c>
      <c r="AJ173" s="267">
        <v>71.239999999999995</v>
      </c>
    </row>
    <row r="174" spans="1:36" x14ac:dyDescent="0.2">
      <c r="A174" s="507"/>
      <c r="B174" s="510"/>
      <c r="C174" s="509" t="s">
        <v>966</v>
      </c>
      <c r="D174" s="320" t="s">
        <v>966</v>
      </c>
      <c r="E174" s="291">
        <v>1508</v>
      </c>
      <c r="F174" s="306">
        <v>6032</v>
      </c>
      <c r="G174" s="293">
        <v>650</v>
      </c>
      <c r="H174" s="293">
        <v>388</v>
      </c>
      <c r="I174" s="293">
        <v>0</v>
      </c>
      <c r="J174" s="293">
        <v>0</v>
      </c>
      <c r="K174" s="293">
        <v>0</v>
      </c>
      <c r="L174" s="293">
        <v>4</v>
      </c>
      <c r="M174" s="293">
        <v>15</v>
      </c>
      <c r="N174" s="293">
        <f t="shared" ref="N174:N176" si="186">SUM(G174:M174)</f>
        <v>1057</v>
      </c>
      <c r="O174" s="294">
        <f t="shared" ref="O174:O176" si="187">N174/E174*100</f>
        <v>70.092838196286465</v>
      </c>
      <c r="P174" s="295">
        <f t="shared" ref="P174:P176" si="188">E174-N174</f>
        <v>451</v>
      </c>
      <c r="Q174" s="293">
        <v>0</v>
      </c>
      <c r="R174" s="293">
        <v>0</v>
      </c>
      <c r="S174" s="293">
        <v>0</v>
      </c>
      <c r="T174" s="293">
        <v>0</v>
      </c>
      <c r="U174" s="293">
        <v>0</v>
      </c>
      <c r="V174" s="293">
        <v>0</v>
      </c>
      <c r="W174" s="293">
        <v>0</v>
      </c>
      <c r="X174" s="293">
        <f t="shared" ref="X174:X176" si="189">Q174+R174+S174+T174+U174+V174+W174</f>
        <v>0</v>
      </c>
      <c r="Y174" s="293">
        <f t="shared" ref="Y174:Y176" si="190">X174/E174*100</f>
        <v>0</v>
      </c>
      <c r="Z174" s="296">
        <f t="shared" ref="Z174:AG176" si="191">G174+Q174</f>
        <v>650</v>
      </c>
      <c r="AA174" s="297">
        <f t="shared" si="191"/>
        <v>388</v>
      </c>
      <c r="AB174" s="298">
        <f t="shared" si="191"/>
        <v>0</v>
      </c>
      <c r="AC174" s="298">
        <f t="shared" si="191"/>
        <v>0</v>
      </c>
      <c r="AD174" s="298">
        <f t="shared" si="191"/>
        <v>0</v>
      </c>
      <c r="AE174" s="298">
        <f t="shared" si="191"/>
        <v>4</v>
      </c>
      <c r="AF174" s="298">
        <f t="shared" si="191"/>
        <v>15</v>
      </c>
      <c r="AG174" s="298">
        <f t="shared" si="191"/>
        <v>1057</v>
      </c>
      <c r="AH174" s="299">
        <f t="shared" si="114"/>
        <v>70.092838196286465</v>
      </c>
    </row>
    <row r="175" spans="1:36" x14ac:dyDescent="0.2">
      <c r="A175" s="507"/>
      <c r="B175" s="510"/>
      <c r="C175" s="510"/>
      <c r="D175" s="320" t="s">
        <v>967</v>
      </c>
      <c r="E175" s="291">
        <v>1252</v>
      </c>
      <c r="F175" s="306">
        <v>5008</v>
      </c>
      <c r="G175" s="293">
        <v>462</v>
      </c>
      <c r="H175" s="293">
        <v>467</v>
      </c>
      <c r="I175" s="293">
        <v>0</v>
      </c>
      <c r="J175" s="293">
        <v>0</v>
      </c>
      <c r="K175" s="293">
        <v>0</v>
      </c>
      <c r="L175" s="293">
        <v>9</v>
      </c>
      <c r="M175" s="293">
        <v>7</v>
      </c>
      <c r="N175" s="293">
        <f t="shared" si="186"/>
        <v>945</v>
      </c>
      <c r="O175" s="294">
        <f t="shared" si="187"/>
        <v>75.479233226837067</v>
      </c>
      <c r="P175" s="295">
        <f t="shared" si="188"/>
        <v>307</v>
      </c>
      <c r="Q175" s="293">
        <v>0</v>
      </c>
      <c r="R175" s="293">
        <v>0</v>
      </c>
      <c r="S175" s="293">
        <v>0</v>
      </c>
      <c r="T175" s="293">
        <v>0</v>
      </c>
      <c r="U175" s="293">
        <v>0</v>
      </c>
      <c r="V175" s="293">
        <v>0</v>
      </c>
      <c r="W175" s="293">
        <v>0</v>
      </c>
      <c r="X175" s="293">
        <f t="shared" si="189"/>
        <v>0</v>
      </c>
      <c r="Y175" s="293">
        <f t="shared" si="190"/>
        <v>0</v>
      </c>
      <c r="Z175" s="296">
        <f t="shared" si="191"/>
        <v>462</v>
      </c>
      <c r="AA175" s="297">
        <f t="shared" si="191"/>
        <v>467</v>
      </c>
      <c r="AB175" s="298">
        <f t="shared" si="191"/>
        <v>0</v>
      </c>
      <c r="AC175" s="298">
        <f t="shared" si="191"/>
        <v>0</v>
      </c>
      <c r="AD175" s="298">
        <f t="shared" si="191"/>
        <v>0</v>
      </c>
      <c r="AE175" s="298">
        <f t="shared" si="191"/>
        <v>9</v>
      </c>
      <c r="AF175" s="298">
        <f t="shared" si="191"/>
        <v>7</v>
      </c>
      <c r="AG175" s="298">
        <f t="shared" si="191"/>
        <v>945</v>
      </c>
      <c r="AH175" s="299">
        <f t="shared" ref="AH175:AH177" si="192">AG175/E175*100</f>
        <v>75.479233226837067</v>
      </c>
    </row>
    <row r="176" spans="1:36" x14ac:dyDescent="0.2">
      <c r="A176" s="507"/>
      <c r="B176" s="510"/>
      <c r="C176" s="510"/>
      <c r="D176" s="320" t="s">
        <v>968</v>
      </c>
      <c r="E176" s="291">
        <v>1459.5</v>
      </c>
      <c r="F176" s="306">
        <v>5838</v>
      </c>
      <c r="G176" s="293">
        <v>110</v>
      </c>
      <c r="H176" s="293">
        <v>947</v>
      </c>
      <c r="I176" s="293">
        <v>0</v>
      </c>
      <c r="J176" s="293">
        <v>0</v>
      </c>
      <c r="K176" s="293">
        <v>0</v>
      </c>
      <c r="L176" s="293">
        <v>2</v>
      </c>
      <c r="M176" s="293">
        <v>9</v>
      </c>
      <c r="N176" s="293">
        <f t="shared" si="186"/>
        <v>1068</v>
      </c>
      <c r="O176" s="294">
        <f t="shared" si="187"/>
        <v>73.175745118191159</v>
      </c>
      <c r="P176" s="295">
        <f t="shared" si="188"/>
        <v>391.5</v>
      </c>
      <c r="Q176" s="293">
        <v>0</v>
      </c>
      <c r="R176" s="293">
        <v>0</v>
      </c>
      <c r="S176" s="293">
        <v>0</v>
      </c>
      <c r="T176" s="293">
        <v>0</v>
      </c>
      <c r="U176" s="293">
        <v>0</v>
      </c>
      <c r="V176" s="293">
        <v>0</v>
      </c>
      <c r="W176" s="293">
        <v>0</v>
      </c>
      <c r="X176" s="293">
        <f t="shared" si="189"/>
        <v>0</v>
      </c>
      <c r="Y176" s="293">
        <f t="shared" si="190"/>
        <v>0</v>
      </c>
      <c r="Z176" s="296">
        <f t="shared" si="191"/>
        <v>110</v>
      </c>
      <c r="AA176" s="297">
        <f t="shared" si="191"/>
        <v>947</v>
      </c>
      <c r="AB176" s="298">
        <f t="shared" si="191"/>
        <v>0</v>
      </c>
      <c r="AC176" s="298">
        <f t="shared" si="191"/>
        <v>0</v>
      </c>
      <c r="AD176" s="298">
        <f t="shared" si="191"/>
        <v>0</v>
      </c>
      <c r="AE176" s="298">
        <f t="shared" si="191"/>
        <v>2</v>
      </c>
      <c r="AF176" s="298">
        <f t="shared" si="191"/>
        <v>9</v>
      </c>
      <c r="AG176" s="298">
        <f t="shared" si="191"/>
        <v>1068</v>
      </c>
      <c r="AH176" s="299">
        <f t="shared" si="192"/>
        <v>73.175745118191159</v>
      </c>
    </row>
    <row r="177" spans="1:34" ht="13.5" thickBot="1" x14ac:dyDescent="0.25">
      <c r="A177" s="508"/>
      <c r="B177" s="511"/>
      <c r="C177" s="511"/>
      <c r="D177" s="302" t="s">
        <v>825</v>
      </c>
      <c r="E177" s="303">
        <f>SUM(E174:E176)</f>
        <v>4219.5</v>
      </c>
      <c r="F177" s="303">
        <f>SUM(F174:F176)</f>
        <v>16878</v>
      </c>
      <c r="G177" s="303">
        <f t="shared" ref="G177:AG177" si="193">SUM(G174:G176)</f>
        <v>1222</v>
      </c>
      <c r="H177" s="303">
        <f t="shared" si="193"/>
        <v>1802</v>
      </c>
      <c r="I177" s="303">
        <f t="shared" si="193"/>
        <v>0</v>
      </c>
      <c r="J177" s="303">
        <f t="shared" si="193"/>
        <v>0</v>
      </c>
      <c r="K177" s="303">
        <f t="shared" si="193"/>
        <v>0</v>
      </c>
      <c r="L177" s="303">
        <f t="shared" si="193"/>
        <v>15</v>
      </c>
      <c r="M177" s="303">
        <f t="shared" si="193"/>
        <v>31</v>
      </c>
      <c r="N177" s="303">
        <f t="shared" si="193"/>
        <v>3070</v>
      </c>
      <c r="O177" s="303">
        <f t="shared" si="193"/>
        <v>218.74781654131471</v>
      </c>
      <c r="P177" s="303">
        <f t="shared" si="193"/>
        <v>1149.5</v>
      </c>
      <c r="Q177" s="303">
        <f t="shared" si="193"/>
        <v>0</v>
      </c>
      <c r="R177" s="303">
        <f t="shared" si="193"/>
        <v>0</v>
      </c>
      <c r="S177" s="303">
        <f t="shared" si="193"/>
        <v>0</v>
      </c>
      <c r="T177" s="303">
        <f t="shared" si="193"/>
        <v>0</v>
      </c>
      <c r="U177" s="303">
        <f t="shared" si="193"/>
        <v>0</v>
      </c>
      <c r="V177" s="303">
        <f t="shared" si="193"/>
        <v>0</v>
      </c>
      <c r="W177" s="303">
        <f t="shared" si="193"/>
        <v>0</v>
      </c>
      <c r="X177" s="303">
        <f t="shared" si="193"/>
        <v>0</v>
      </c>
      <c r="Y177" s="303">
        <f t="shared" si="193"/>
        <v>0</v>
      </c>
      <c r="Z177" s="303">
        <f t="shared" si="193"/>
        <v>1222</v>
      </c>
      <c r="AA177" s="303">
        <f t="shared" si="193"/>
        <v>1802</v>
      </c>
      <c r="AB177" s="303">
        <f t="shared" si="193"/>
        <v>0</v>
      </c>
      <c r="AC177" s="303">
        <f t="shared" si="193"/>
        <v>0</v>
      </c>
      <c r="AD177" s="303">
        <f t="shared" si="193"/>
        <v>0</v>
      </c>
      <c r="AE177" s="303">
        <f t="shared" si="193"/>
        <v>15</v>
      </c>
      <c r="AF177" s="303">
        <f t="shared" si="193"/>
        <v>31</v>
      </c>
      <c r="AG177" s="303">
        <f t="shared" si="193"/>
        <v>3070</v>
      </c>
      <c r="AH177" s="305">
        <f t="shared" si="192"/>
        <v>72.757435715132118</v>
      </c>
    </row>
    <row r="178" spans="1:34" ht="24" customHeight="1" thickBot="1" x14ac:dyDescent="0.25">
      <c r="A178" s="513" t="s">
        <v>969</v>
      </c>
      <c r="B178" s="514"/>
      <c r="C178" s="326"/>
      <c r="D178" s="326"/>
      <c r="E178" s="327">
        <f>E177+E173+E167+E161+E155+E149+E142+E137+E132+E126+E120+E112+E105+E95+E89+E85+E81+E74+E67+E61+E55+E49+E43+E36+E31+E23+E17+E15</f>
        <v>236125.25</v>
      </c>
      <c r="F178" s="327">
        <f>F177+F173+F167+F161+F155+F149+F142+F137+F132+F126+F120+F112+F105+F95+F89+F85+F81+F74+F67+F61+F55+F49+F43+F36+F31+F23+F17+F15</f>
        <v>930797</v>
      </c>
      <c r="G178" s="327">
        <f t="shared" ref="G178:AG178" si="194">G177+G173+G167+G161+G155+G149+G142+G137+G132+G126+G120+G112+G105+G95+G89+G85+G81+G74+G67+G61+G55+G49+G43+G36+G31+G23+G17+G15</f>
        <v>126110.5</v>
      </c>
      <c r="H178" s="327">
        <f t="shared" si="194"/>
        <v>48761</v>
      </c>
      <c r="I178" s="327">
        <f t="shared" si="194"/>
        <v>1008</v>
      </c>
      <c r="J178" s="327">
        <f>J177+J173+J167+J161+J155+J149+J142+J137+J132+J126+J120+J112+J105+J95+J89+J85+J81+J74+J67+J61+J55+J49+J43+J36+J31+J23+J17+J15</f>
        <v>2845</v>
      </c>
      <c r="K178" s="327">
        <f t="shared" si="194"/>
        <v>413</v>
      </c>
      <c r="L178" s="327">
        <f t="shared" si="194"/>
        <v>1276</v>
      </c>
      <c r="M178" s="327">
        <f t="shared" si="194"/>
        <v>1395</v>
      </c>
      <c r="N178" s="327">
        <f t="shared" si="194"/>
        <v>181808.5</v>
      </c>
      <c r="O178" s="327">
        <f t="shared" si="194"/>
        <v>9091.2155720476694</v>
      </c>
      <c r="P178" s="327">
        <f t="shared" si="194"/>
        <v>54316.75</v>
      </c>
      <c r="Q178" s="327">
        <f t="shared" si="194"/>
        <v>1414</v>
      </c>
      <c r="R178" s="327">
        <f t="shared" si="194"/>
        <v>599</v>
      </c>
      <c r="S178" s="327">
        <f t="shared" si="194"/>
        <v>0</v>
      </c>
      <c r="T178" s="327">
        <f t="shared" si="194"/>
        <v>461</v>
      </c>
      <c r="U178" s="327">
        <f t="shared" si="194"/>
        <v>8</v>
      </c>
      <c r="V178" s="327">
        <f t="shared" si="194"/>
        <v>28</v>
      </c>
      <c r="W178" s="327">
        <f t="shared" si="194"/>
        <v>0</v>
      </c>
      <c r="X178" s="327">
        <f t="shared" si="194"/>
        <v>2510</v>
      </c>
      <c r="Y178" s="327">
        <f t="shared" si="194"/>
        <v>157.68395779856937</v>
      </c>
      <c r="Z178" s="327">
        <f t="shared" si="194"/>
        <v>127524.5</v>
      </c>
      <c r="AA178" s="327">
        <f t="shared" si="194"/>
        <v>49360</v>
      </c>
      <c r="AB178" s="327">
        <f t="shared" si="194"/>
        <v>1008</v>
      </c>
      <c r="AC178" s="327">
        <f t="shared" si="194"/>
        <v>3306</v>
      </c>
      <c r="AD178" s="327">
        <f t="shared" si="194"/>
        <v>421</v>
      </c>
      <c r="AE178" s="327">
        <f t="shared" si="194"/>
        <v>1304</v>
      </c>
      <c r="AF178" s="327">
        <f t="shared" si="194"/>
        <v>1395</v>
      </c>
      <c r="AG178" s="327">
        <f t="shared" si="194"/>
        <v>184318.5</v>
      </c>
      <c r="AH178" s="305">
        <f t="shared" si="6"/>
        <v>78.059631487949716</v>
      </c>
    </row>
    <row r="179" spans="1:34" x14ac:dyDescent="0.2">
      <c r="A179" s="328"/>
      <c r="B179" s="328"/>
      <c r="C179" s="328"/>
      <c r="D179" s="328"/>
      <c r="E179" s="328"/>
      <c r="F179" s="328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29"/>
      <c r="AB179" s="329"/>
      <c r="AC179" s="329"/>
      <c r="AD179" s="329"/>
      <c r="AE179" s="329"/>
      <c r="AF179" s="329"/>
      <c r="AG179" s="329"/>
      <c r="AH179" s="329"/>
    </row>
    <row r="180" spans="1:34" x14ac:dyDescent="0.2">
      <c r="A180" s="330"/>
      <c r="B180" s="331"/>
      <c r="C180" s="331"/>
      <c r="D180" s="331"/>
      <c r="E180" s="331"/>
      <c r="F180" s="331"/>
      <c r="G180" s="332"/>
      <c r="H180" s="332"/>
      <c r="I180" s="332"/>
      <c r="J180" s="332"/>
      <c r="K180" s="332"/>
      <c r="L180" s="332"/>
      <c r="M180" s="332"/>
      <c r="N180" s="332"/>
      <c r="O180" s="332"/>
      <c r="P180" s="332"/>
      <c r="Q180" s="333"/>
      <c r="R180" s="333"/>
      <c r="S180" s="333"/>
      <c r="T180" s="333"/>
      <c r="U180" s="333"/>
      <c r="V180" s="333"/>
      <c r="W180" s="333"/>
      <c r="X180" s="333"/>
      <c r="Y180" s="333"/>
      <c r="Z180" s="515"/>
      <c r="AA180" s="515"/>
      <c r="AB180" s="334"/>
      <c r="AC180" s="334"/>
      <c r="AD180" s="334" t="s">
        <v>970</v>
      </c>
      <c r="AE180" s="335"/>
      <c r="AF180" s="336"/>
      <c r="AG180" s="336"/>
      <c r="AH180" s="336"/>
    </row>
    <row r="181" spans="1:34" x14ac:dyDescent="0.2">
      <c r="A181" s="330"/>
      <c r="B181" s="331"/>
      <c r="C181" s="331"/>
      <c r="D181" s="331"/>
      <c r="E181" s="331"/>
      <c r="F181" s="331"/>
      <c r="G181" s="332"/>
      <c r="H181" s="332"/>
      <c r="I181" s="332"/>
      <c r="J181" s="332"/>
      <c r="K181" s="332"/>
      <c r="L181" s="332"/>
      <c r="M181" s="332"/>
      <c r="N181" s="332"/>
      <c r="O181" s="333"/>
      <c r="P181" s="333"/>
      <c r="Q181" s="333"/>
      <c r="R181" s="333"/>
      <c r="S181" s="333"/>
      <c r="T181" s="333"/>
      <c r="U181" s="333"/>
      <c r="V181" s="333"/>
      <c r="W181" s="333"/>
      <c r="X181" s="333"/>
      <c r="Y181" s="333"/>
      <c r="Z181" s="334"/>
      <c r="AA181" s="334"/>
      <c r="AB181" s="334"/>
      <c r="AC181" s="334"/>
      <c r="AD181" s="334"/>
      <c r="AE181" s="503"/>
      <c r="AF181" s="504"/>
      <c r="AG181" s="504"/>
      <c r="AH181" s="504"/>
    </row>
    <row r="182" spans="1:34" x14ac:dyDescent="0.2">
      <c r="A182" s="337"/>
      <c r="B182" s="338"/>
      <c r="C182" s="338"/>
      <c r="D182" s="338"/>
      <c r="E182" s="505"/>
      <c r="F182" s="505"/>
      <c r="G182" s="506"/>
      <c r="H182" s="506"/>
      <c r="I182" s="506"/>
      <c r="J182" s="506"/>
      <c r="K182" s="506"/>
      <c r="L182" s="506"/>
      <c r="M182" s="506"/>
      <c r="N182" s="506"/>
      <c r="O182" s="506"/>
      <c r="P182" s="506"/>
      <c r="Q182" s="506"/>
      <c r="R182" s="506"/>
      <c r="S182" s="506"/>
      <c r="T182" s="506"/>
      <c r="U182" s="506"/>
      <c r="V182" s="506"/>
      <c r="W182" s="506"/>
      <c r="X182" s="506"/>
      <c r="Y182" s="506"/>
      <c r="Z182" s="506"/>
      <c r="AA182" s="506"/>
      <c r="AB182" s="506"/>
      <c r="AC182" s="506"/>
      <c r="AD182" s="506"/>
      <c r="AE182" s="506"/>
      <c r="AF182" s="506"/>
      <c r="AG182" s="506"/>
      <c r="AH182" s="506"/>
    </row>
    <row r="183" spans="1:34" x14ac:dyDescent="0.2">
      <c r="A183" s="339"/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  <c r="V183" s="339"/>
      <c r="W183" s="339"/>
      <c r="X183" s="339"/>
      <c r="Y183" s="339"/>
      <c r="Z183" s="339"/>
      <c r="AA183" s="339"/>
      <c r="AB183" s="339"/>
      <c r="AC183" s="339"/>
      <c r="AD183" s="331" t="s">
        <v>971</v>
      </c>
      <c r="AE183" s="339"/>
      <c r="AF183" s="339"/>
      <c r="AG183" s="339"/>
      <c r="AH183" s="339"/>
    </row>
    <row r="184" spans="1:34" x14ac:dyDescent="0.2">
      <c r="A184" s="339"/>
      <c r="B184" s="339"/>
      <c r="C184" s="339"/>
      <c r="D184" s="339"/>
      <c r="E184" s="339"/>
      <c r="F184" s="339"/>
      <c r="G184" s="339"/>
      <c r="H184" s="339"/>
      <c r="I184" s="339"/>
      <c r="J184" s="339"/>
      <c r="K184" s="339"/>
      <c r="L184" s="339"/>
      <c r="M184" s="339"/>
      <c r="N184" s="339"/>
      <c r="O184" s="339"/>
      <c r="P184" s="339"/>
      <c r="Q184" s="339"/>
      <c r="R184" s="339"/>
      <c r="S184" s="339"/>
      <c r="T184" s="339"/>
      <c r="U184" s="339"/>
      <c r="V184" s="339"/>
      <c r="W184" s="339"/>
      <c r="X184" s="339"/>
      <c r="Y184" s="339"/>
      <c r="Z184" s="339"/>
      <c r="AA184" s="339"/>
      <c r="AB184" s="339"/>
      <c r="AC184" s="339"/>
      <c r="AD184" s="331" t="s">
        <v>972</v>
      </c>
      <c r="AE184" s="339"/>
      <c r="AF184" s="339"/>
      <c r="AG184" s="339"/>
      <c r="AH184" s="339"/>
    </row>
    <row r="185" spans="1:34" x14ac:dyDescent="0.2">
      <c r="A185" s="339"/>
      <c r="B185" s="339"/>
      <c r="C185" s="339"/>
      <c r="D185" s="339"/>
      <c r="E185" s="339"/>
      <c r="F185" s="339"/>
      <c r="G185" s="339"/>
      <c r="H185" s="339"/>
      <c r="I185" s="339"/>
      <c r="J185" s="339"/>
      <c r="K185" s="339"/>
      <c r="L185" s="339"/>
      <c r="M185" s="339"/>
      <c r="N185" s="339"/>
      <c r="O185" s="339"/>
      <c r="P185" s="339"/>
      <c r="Q185" s="339"/>
      <c r="R185" s="339"/>
      <c r="S185" s="339"/>
      <c r="T185" s="339"/>
      <c r="U185" s="339"/>
      <c r="V185" s="339"/>
      <c r="W185" s="339"/>
      <c r="X185" s="339"/>
      <c r="Y185" s="339"/>
      <c r="Z185" s="339"/>
      <c r="AA185" s="339"/>
      <c r="AB185" s="339"/>
      <c r="AC185" s="339"/>
      <c r="AD185" s="338" t="s">
        <v>973</v>
      </c>
      <c r="AE185" s="339"/>
      <c r="AF185" s="339"/>
      <c r="AG185" s="339"/>
      <c r="AH185" s="339"/>
    </row>
    <row r="186" spans="1:34" x14ac:dyDescent="0.2">
      <c r="A186" s="339"/>
      <c r="B186" s="339"/>
      <c r="C186" s="339"/>
      <c r="D186" s="339"/>
      <c r="E186" s="339"/>
      <c r="F186" s="339"/>
      <c r="G186" s="339"/>
      <c r="H186" s="339"/>
      <c r="I186" s="339"/>
      <c r="J186" s="339"/>
      <c r="K186" s="339"/>
      <c r="L186" s="339"/>
      <c r="M186" s="339"/>
      <c r="N186" s="339"/>
      <c r="O186" s="339"/>
      <c r="P186" s="339"/>
      <c r="Q186" s="339"/>
      <c r="R186" s="339"/>
      <c r="S186" s="339"/>
      <c r="T186" s="339"/>
      <c r="U186" s="339"/>
      <c r="V186" s="339"/>
      <c r="W186" s="339"/>
      <c r="X186" s="339"/>
      <c r="Y186" s="339"/>
      <c r="Z186" s="339"/>
      <c r="AA186" s="339"/>
      <c r="AB186" s="339"/>
      <c r="AC186" s="339"/>
      <c r="AD186" s="339" t="s">
        <v>974</v>
      </c>
      <c r="AE186" s="339"/>
      <c r="AF186" s="339"/>
      <c r="AG186" s="339"/>
      <c r="AH186" s="339"/>
    </row>
    <row r="187" spans="1:34" x14ac:dyDescent="0.2">
      <c r="A187" s="339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39"/>
      <c r="P187" s="339"/>
      <c r="Q187" s="339"/>
      <c r="R187" s="339"/>
      <c r="S187" s="339"/>
      <c r="T187" s="339"/>
      <c r="U187" s="339"/>
      <c r="V187" s="339"/>
      <c r="W187" s="339"/>
      <c r="X187" s="339"/>
      <c r="Y187" s="339"/>
      <c r="Z187" s="339"/>
      <c r="AA187" s="339"/>
      <c r="AB187" s="339"/>
      <c r="AC187" s="339"/>
      <c r="AD187" s="339"/>
      <c r="AE187" s="339"/>
      <c r="AF187" s="339"/>
      <c r="AG187" s="339"/>
      <c r="AH187" s="339"/>
    </row>
    <row r="188" spans="1:34" x14ac:dyDescent="0.2">
      <c r="A188" s="339"/>
      <c r="B188" s="340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39"/>
      <c r="P188" s="339"/>
      <c r="Q188" s="339"/>
      <c r="R188" s="339"/>
      <c r="S188" s="339"/>
      <c r="T188" s="339"/>
      <c r="U188" s="339"/>
      <c r="V188" s="339"/>
      <c r="W188" s="339"/>
      <c r="X188" s="339"/>
      <c r="Y188" s="339"/>
      <c r="Z188" s="339"/>
      <c r="AA188" s="339"/>
      <c r="AB188" s="339"/>
      <c r="AC188" s="339"/>
      <c r="AD188" s="339"/>
      <c r="AE188" s="339"/>
      <c r="AF188" s="339"/>
      <c r="AG188" s="339"/>
      <c r="AH188" s="339"/>
    </row>
    <row r="189" spans="1:34" x14ac:dyDescent="0.2">
      <c r="A189" s="339"/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339"/>
      <c r="Z189" s="339"/>
      <c r="AA189" s="339"/>
      <c r="AB189" s="339"/>
      <c r="AC189" s="339"/>
      <c r="AD189" s="339"/>
      <c r="AE189" s="339"/>
      <c r="AF189" s="339"/>
      <c r="AG189" s="339"/>
      <c r="AH189" s="339"/>
    </row>
    <row r="190" spans="1:34" x14ac:dyDescent="0.2">
      <c r="AD190" s="339"/>
    </row>
    <row r="191" spans="1:34" x14ac:dyDescent="0.2">
      <c r="AD191" s="340" t="s">
        <v>975</v>
      </c>
    </row>
    <row r="192" spans="1:34" x14ac:dyDescent="0.2">
      <c r="AD192" s="339" t="s">
        <v>976</v>
      </c>
    </row>
  </sheetData>
  <mergeCells count="77">
    <mergeCell ref="A1:AH1"/>
    <mergeCell ref="A2:AH2"/>
    <mergeCell ref="A3:AH3"/>
    <mergeCell ref="A5:B5"/>
    <mergeCell ref="A6:A9"/>
    <mergeCell ref="B6:B9"/>
    <mergeCell ref="C6:C9"/>
    <mergeCell ref="D6:D9"/>
    <mergeCell ref="E6:F8"/>
    <mergeCell ref="G6:AH6"/>
    <mergeCell ref="AG7:AH8"/>
    <mergeCell ref="G8:M8"/>
    <mergeCell ref="Q8:W8"/>
    <mergeCell ref="Z8:AF8"/>
    <mergeCell ref="G7:M7"/>
    <mergeCell ref="N7:O8"/>
    <mergeCell ref="P7:P9"/>
    <mergeCell ref="Q7:W7"/>
    <mergeCell ref="X7:Y8"/>
    <mergeCell ref="Z7:AF7"/>
    <mergeCell ref="A24:A36"/>
    <mergeCell ref="B24:B36"/>
    <mergeCell ref="C24:C31"/>
    <mergeCell ref="C32:C36"/>
    <mergeCell ref="A11:A23"/>
    <mergeCell ref="B11:B23"/>
    <mergeCell ref="C11:C15"/>
    <mergeCell ref="C16:C17"/>
    <mergeCell ref="C18:C23"/>
    <mergeCell ref="A37:A55"/>
    <mergeCell ref="B37:B55"/>
    <mergeCell ref="C37:C43"/>
    <mergeCell ref="C44:C49"/>
    <mergeCell ref="C50:C55"/>
    <mergeCell ref="A56:A67"/>
    <mergeCell ref="B56:B67"/>
    <mergeCell ref="C56:C61"/>
    <mergeCell ref="C62:C67"/>
    <mergeCell ref="A68:A81"/>
    <mergeCell ref="B68:B81"/>
    <mergeCell ref="C68:C74"/>
    <mergeCell ref="C75:C81"/>
    <mergeCell ref="C90:C95"/>
    <mergeCell ref="A113:A126"/>
    <mergeCell ref="B113:B126"/>
    <mergeCell ref="C113:C120"/>
    <mergeCell ref="C121:C126"/>
    <mergeCell ref="A96:A112"/>
    <mergeCell ref="B96:B112"/>
    <mergeCell ref="C96:C105"/>
    <mergeCell ref="C106:C112"/>
    <mergeCell ref="A82:A95"/>
    <mergeCell ref="B82:B95"/>
    <mergeCell ref="C82:C85"/>
    <mergeCell ref="C86:C89"/>
    <mergeCell ref="A127:A142"/>
    <mergeCell ref="B127:B142"/>
    <mergeCell ref="C127:C132"/>
    <mergeCell ref="C133:C137"/>
    <mergeCell ref="C138:C142"/>
    <mergeCell ref="A143:A155"/>
    <mergeCell ref="B143:B155"/>
    <mergeCell ref="C143:C149"/>
    <mergeCell ref="C150:C155"/>
    <mergeCell ref="A156:A167"/>
    <mergeCell ref="B156:B167"/>
    <mergeCell ref="C156:C161"/>
    <mergeCell ref="C162:C167"/>
    <mergeCell ref="AE181:AH181"/>
    <mergeCell ref="E182:F182"/>
    <mergeCell ref="G182:AH182"/>
    <mergeCell ref="A168:A177"/>
    <mergeCell ref="B168:B177"/>
    <mergeCell ref="C168:C173"/>
    <mergeCell ref="C174:C177"/>
    <mergeCell ref="A178:B178"/>
    <mergeCell ref="Z180:AA180"/>
  </mergeCells>
  <pageMargins left="0.7" right="0.7" top="0.75" bottom="0.75" header="0.3" footer="0.3"/>
  <pageSetup paperSize="175" scale="96" fitToHeight="0" orientation="portrait" horizontalDpi="4294967293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217"/>
  <sheetViews>
    <sheetView tabSelected="1" view="pageBreakPreview" zoomScale="130" zoomScaleNormal="100" zoomScaleSheetLayoutView="130" workbookViewId="0">
      <pane xSplit="1" ySplit="3" topLeftCell="H211" activePane="bottomRight" state="frozen"/>
      <selection pane="topRight" activeCell="B1" sqref="B1"/>
      <selection pane="bottomLeft" activeCell="A4" sqref="A4"/>
      <selection pane="bottomRight" activeCell="O221" sqref="O221"/>
    </sheetView>
  </sheetViews>
  <sheetFormatPr defaultRowHeight="15" x14ac:dyDescent="0.25"/>
  <cols>
    <col min="1" max="2" width="4.7109375" style="218" customWidth="1"/>
    <col min="3" max="3" width="17.140625" style="218" customWidth="1"/>
    <col min="4" max="4" width="12.28515625" style="443" customWidth="1"/>
    <col min="5" max="5" width="10.85546875" style="443" customWidth="1"/>
    <col min="6" max="6" width="6.140625" style="444" customWidth="1"/>
    <col min="7" max="7" width="10.85546875" style="443" customWidth="1"/>
    <col min="8" max="8" width="7.42578125" style="444" customWidth="1"/>
    <col min="9" max="9" width="12" style="443" customWidth="1"/>
    <col min="10" max="10" width="7.7109375" style="444" customWidth="1"/>
    <col min="11" max="11" width="10.7109375" style="443" customWidth="1"/>
    <col min="12" max="12" width="6.28515625" style="444" customWidth="1"/>
    <col min="13" max="13" width="10" style="443" customWidth="1"/>
    <col min="14" max="14" width="9.5703125" style="444" bestFit="1" customWidth="1"/>
    <col min="15" max="15" width="8.7109375" style="443" customWidth="1"/>
    <col min="16" max="16" width="6.28515625" style="444" customWidth="1"/>
    <col min="17" max="17" width="10.5703125" style="443" customWidth="1"/>
    <col min="18" max="18" width="7.42578125" style="443" customWidth="1"/>
    <col min="19" max="19" width="11.42578125" style="443" customWidth="1"/>
    <col min="20" max="20" width="8.5703125" style="444" customWidth="1"/>
    <col min="21" max="21" width="8.5703125" style="218" customWidth="1"/>
    <col min="22" max="22" width="6.42578125" style="218" customWidth="1"/>
  </cols>
  <sheetData>
    <row r="1" spans="1:22" x14ac:dyDescent="0.25">
      <c r="A1" s="463" t="s">
        <v>723</v>
      </c>
      <c r="B1" s="463" t="s">
        <v>724</v>
      </c>
      <c r="C1" s="463"/>
      <c r="D1" s="556" t="s">
        <v>256</v>
      </c>
      <c r="E1" s="553" t="s">
        <v>2</v>
      </c>
      <c r="F1" s="553"/>
      <c r="G1" s="553"/>
      <c r="H1" s="553"/>
      <c r="I1" s="553" t="s">
        <v>3</v>
      </c>
      <c r="J1" s="553"/>
      <c r="K1" s="553"/>
      <c r="L1" s="553"/>
      <c r="M1" s="553"/>
      <c r="N1" s="553"/>
      <c r="O1" s="553"/>
      <c r="P1" s="553"/>
      <c r="Q1" s="553" t="s">
        <v>725</v>
      </c>
      <c r="R1" s="553"/>
      <c r="S1" s="553" t="s">
        <v>726</v>
      </c>
      <c r="T1" s="553"/>
      <c r="U1" s="466" t="s">
        <v>26</v>
      </c>
      <c r="V1" s="466"/>
    </row>
    <row r="2" spans="1:22" ht="25.5" customHeight="1" x14ac:dyDescent="0.25">
      <c r="A2" s="463" t="s">
        <v>723</v>
      </c>
      <c r="B2" s="463" t="s">
        <v>724</v>
      </c>
      <c r="C2" s="555"/>
      <c r="D2" s="556" t="s">
        <v>256</v>
      </c>
      <c r="E2" s="553" t="s">
        <v>727</v>
      </c>
      <c r="F2" s="553"/>
      <c r="G2" s="553" t="s">
        <v>728</v>
      </c>
      <c r="H2" s="553"/>
      <c r="I2" s="553" t="s">
        <v>729</v>
      </c>
      <c r="J2" s="553"/>
      <c r="K2" s="553" t="s">
        <v>730</v>
      </c>
      <c r="L2" s="553"/>
      <c r="M2" s="553" t="s">
        <v>731</v>
      </c>
      <c r="N2" s="553"/>
      <c r="O2" s="553" t="s">
        <v>732</v>
      </c>
      <c r="P2" s="553"/>
      <c r="Q2" s="553" t="s">
        <v>725</v>
      </c>
      <c r="R2" s="554"/>
      <c r="S2" s="553" t="s">
        <v>726</v>
      </c>
      <c r="T2" s="554"/>
      <c r="U2" s="466" t="s">
        <v>726</v>
      </c>
      <c r="V2" s="555"/>
    </row>
    <row r="3" spans="1:22" x14ac:dyDescent="0.25">
      <c r="A3" s="463" t="s">
        <v>723</v>
      </c>
      <c r="B3" s="463" t="s">
        <v>724</v>
      </c>
      <c r="C3" s="555"/>
      <c r="D3" s="556" t="s">
        <v>256</v>
      </c>
      <c r="E3" s="341" t="s">
        <v>977</v>
      </c>
      <c r="F3" s="342" t="s">
        <v>13</v>
      </c>
      <c r="G3" s="341" t="s">
        <v>14</v>
      </c>
      <c r="H3" s="342" t="s">
        <v>15</v>
      </c>
      <c r="I3" s="341" t="s">
        <v>14</v>
      </c>
      <c r="J3" s="342" t="s">
        <v>13</v>
      </c>
      <c r="K3" s="341" t="s">
        <v>14</v>
      </c>
      <c r="L3" s="342" t="s">
        <v>16</v>
      </c>
      <c r="M3" s="341" t="s">
        <v>17</v>
      </c>
      <c r="N3" s="342" t="s">
        <v>16</v>
      </c>
      <c r="O3" s="341" t="s">
        <v>17</v>
      </c>
      <c r="P3" s="342" t="s">
        <v>18</v>
      </c>
      <c r="Q3" s="341" t="s">
        <v>19</v>
      </c>
      <c r="R3" s="341" t="s">
        <v>15</v>
      </c>
      <c r="S3" s="341" t="s">
        <v>20</v>
      </c>
      <c r="T3" s="342" t="s">
        <v>21</v>
      </c>
      <c r="U3" s="4" t="s">
        <v>27</v>
      </c>
      <c r="V3" s="4" t="s">
        <v>28</v>
      </c>
    </row>
    <row r="4" spans="1:22" x14ac:dyDescent="0.25">
      <c r="A4" s="472" t="s">
        <v>733</v>
      </c>
      <c r="B4" s="552" t="s">
        <v>978</v>
      </c>
      <c r="C4" s="552"/>
      <c r="D4" s="343"/>
      <c r="E4" s="343"/>
      <c r="F4" s="344"/>
      <c r="G4" s="343"/>
      <c r="H4" s="344"/>
      <c r="I4" s="343"/>
      <c r="J4" s="344"/>
      <c r="K4" s="343"/>
      <c r="L4" s="344"/>
      <c r="M4" s="343"/>
      <c r="N4" s="344"/>
      <c r="O4" s="343"/>
      <c r="P4" s="344"/>
      <c r="Q4" s="343"/>
      <c r="R4" s="343"/>
      <c r="S4" s="343"/>
      <c r="T4" s="344"/>
      <c r="U4" s="345"/>
      <c r="V4" s="345"/>
    </row>
    <row r="5" spans="1:22" x14ac:dyDescent="0.25">
      <c r="A5" s="542"/>
      <c r="B5" s="346">
        <v>1</v>
      </c>
      <c r="C5" s="346" t="s">
        <v>979</v>
      </c>
      <c r="D5" s="347">
        <v>1431</v>
      </c>
      <c r="E5" s="348">
        <v>0</v>
      </c>
      <c r="F5" s="349">
        <f>(E5*100)/D5</f>
        <v>0</v>
      </c>
      <c r="G5" s="350">
        <v>240.66818181818184</v>
      </c>
      <c r="H5" s="351">
        <f>(G5*100)/D5</f>
        <v>16.81818181818182</v>
      </c>
      <c r="I5" s="347">
        <v>1056.9886363636365</v>
      </c>
      <c r="J5" s="349">
        <f>(I5*100)/D5</f>
        <v>73.863636363636374</v>
      </c>
      <c r="K5" s="347">
        <v>104.07272727272728</v>
      </c>
      <c r="L5" s="351">
        <f>(K5*100)/D5</f>
        <v>7.2727272727272734</v>
      </c>
      <c r="M5" s="352">
        <v>0</v>
      </c>
      <c r="N5" s="351">
        <f>(M5*100)/D5</f>
        <v>0</v>
      </c>
      <c r="O5" s="353">
        <v>0</v>
      </c>
      <c r="P5" s="351">
        <f>(O5*100)/D5</f>
        <v>0</v>
      </c>
      <c r="Q5" s="347">
        <f>O5+M5+K5+I5+G5+E5</f>
        <v>1401.7295454545456</v>
      </c>
      <c r="R5" s="354">
        <f>Q5*100/D5</f>
        <v>97.954545454545467</v>
      </c>
      <c r="S5" s="347">
        <f>D5-Q5</f>
        <v>29.270454545454413</v>
      </c>
      <c r="T5" s="351">
        <f>S5*100/D5</f>
        <v>2.0454545454545361</v>
      </c>
      <c r="U5" s="355" t="s">
        <v>507</v>
      </c>
      <c r="V5" s="346"/>
    </row>
    <row r="6" spans="1:22" x14ac:dyDescent="0.25">
      <c r="A6" s="542"/>
      <c r="B6" s="346">
        <v>2</v>
      </c>
      <c r="C6" s="346" t="s">
        <v>980</v>
      </c>
      <c r="D6" s="347">
        <v>2453</v>
      </c>
      <c r="E6" s="348">
        <v>0</v>
      </c>
      <c r="F6" s="349">
        <f t="shared" ref="F6:F12" si="0">(E6*100)/D6</f>
        <v>0</v>
      </c>
      <c r="G6" s="350">
        <v>383.28125</v>
      </c>
      <c r="H6" s="351">
        <f t="shared" ref="H6:H12" si="1">(G6*100)/D6</f>
        <v>15.625</v>
      </c>
      <c r="I6" s="347">
        <v>1815.5427631578948</v>
      </c>
      <c r="J6" s="349">
        <f t="shared" ref="J6:J12" si="2">(I6*100)/D6</f>
        <v>74.013157894736835</v>
      </c>
      <c r="K6" s="347">
        <v>181.55427631578948</v>
      </c>
      <c r="L6" s="351">
        <f t="shared" ref="L6:L12" si="3">(K6*100)/D6</f>
        <v>7.4013157894736841</v>
      </c>
      <c r="M6" s="352">
        <v>0</v>
      </c>
      <c r="N6" s="351">
        <f t="shared" ref="N6:N12" si="4">(M6*100)/D6</f>
        <v>0</v>
      </c>
      <c r="O6" s="353">
        <v>0</v>
      </c>
      <c r="P6" s="351">
        <f t="shared" ref="P6:P12" si="5">(O6*100)/D6</f>
        <v>0</v>
      </c>
      <c r="Q6" s="347">
        <f t="shared" ref="Q6:Q8" si="6">O6+M6+K6+I6+G6+E6</f>
        <v>2380.3782894736842</v>
      </c>
      <c r="R6" s="351">
        <f t="shared" ref="R6:R12" si="7">Q6*100/D6</f>
        <v>97.039473684210535</v>
      </c>
      <c r="S6" s="347">
        <f t="shared" ref="S6:S12" si="8">D6-Q6</f>
        <v>72.621710526315837</v>
      </c>
      <c r="T6" s="351">
        <f t="shared" ref="T6:T12" si="9">S6*100/D6</f>
        <v>2.9605263157894757</v>
      </c>
      <c r="U6" s="355" t="s">
        <v>507</v>
      </c>
      <c r="V6" s="346"/>
    </row>
    <row r="7" spans="1:22" x14ac:dyDescent="0.25">
      <c r="A7" s="542"/>
      <c r="B7" s="346">
        <v>3</v>
      </c>
      <c r="C7" s="346" t="s">
        <v>981</v>
      </c>
      <c r="D7" s="347">
        <v>2699</v>
      </c>
      <c r="E7" s="348">
        <v>0</v>
      </c>
      <c r="F7" s="349">
        <f t="shared" si="0"/>
        <v>0</v>
      </c>
      <c r="G7" s="350">
        <v>0</v>
      </c>
      <c r="H7" s="351">
        <f t="shared" si="1"/>
        <v>0</v>
      </c>
      <c r="I7" s="347">
        <v>1159.9008264462809</v>
      </c>
      <c r="J7" s="349">
        <f t="shared" si="2"/>
        <v>42.97520661157025</v>
      </c>
      <c r="K7" s="347">
        <v>0</v>
      </c>
      <c r="L7" s="351">
        <f t="shared" si="3"/>
        <v>0</v>
      </c>
      <c r="M7" s="352">
        <v>553.92699724517911</v>
      </c>
      <c r="N7" s="351">
        <f t="shared" si="4"/>
        <v>20.523415977961434</v>
      </c>
      <c r="O7" s="353">
        <v>613.40909090909088</v>
      </c>
      <c r="P7" s="351">
        <f t="shared" si="5"/>
        <v>22.727272727272727</v>
      </c>
      <c r="Q7" s="347">
        <f t="shared" si="6"/>
        <v>2327.2369146005508</v>
      </c>
      <c r="R7" s="351">
        <f t="shared" si="7"/>
        <v>86.225895316804397</v>
      </c>
      <c r="S7" s="347">
        <f t="shared" si="8"/>
        <v>371.76308539944921</v>
      </c>
      <c r="T7" s="351">
        <f t="shared" si="9"/>
        <v>13.774104683195597</v>
      </c>
      <c r="U7" s="355" t="s">
        <v>507</v>
      </c>
      <c r="V7" s="346"/>
    </row>
    <row r="8" spans="1:22" x14ac:dyDescent="0.25">
      <c r="A8" s="542"/>
      <c r="B8" s="346">
        <v>4</v>
      </c>
      <c r="C8" s="346" t="s">
        <v>982</v>
      </c>
      <c r="D8" s="347">
        <v>2771</v>
      </c>
      <c r="E8" s="348">
        <v>1786.6167832167832</v>
      </c>
      <c r="F8" s="349">
        <f t="shared" si="0"/>
        <v>64.47552447552448</v>
      </c>
      <c r="G8" s="350">
        <v>0</v>
      </c>
      <c r="H8" s="351">
        <f t="shared" si="1"/>
        <v>0</v>
      </c>
      <c r="I8" s="347">
        <v>728.59860139860132</v>
      </c>
      <c r="J8" s="349">
        <f t="shared" si="2"/>
        <v>26.29370629370629</v>
      </c>
      <c r="K8" s="347">
        <v>0</v>
      </c>
      <c r="L8" s="351">
        <f t="shared" si="3"/>
        <v>0</v>
      </c>
      <c r="M8" s="352">
        <v>0</v>
      </c>
      <c r="N8" s="351">
        <f t="shared" si="4"/>
        <v>0</v>
      </c>
      <c r="O8" s="353">
        <v>0</v>
      </c>
      <c r="P8" s="351">
        <f t="shared" si="5"/>
        <v>0</v>
      </c>
      <c r="Q8" s="347">
        <f t="shared" si="6"/>
        <v>2515.2153846153847</v>
      </c>
      <c r="R8" s="351">
        <f t="shared" si="7"/>
        <v>90.769230769230774</v>
      </c>
      <c r="S8" s="347">
        <f t="shared" si="8"/>
        <v>255.78461538461534</v>
      </c>
      <c r="T8" s="351">
        <f t="shared" si="9"/>
        <v>9.2307692307692282</v>
      </c>
      <c r="U8" s="355" t="s">
        <v>507</v>
      </c>
      <c r="V8" s="346"/>
    </row>
    <row r="9" spans="1:22" x14ac:dyDescent="0.25">
      <c r="A9" s="542"/>
      <c r="B9" s="346">
        <v>5</v>
      </c>
      <c r="C9" s="346" t="s">
        <v>983</v>
      </c>
      <c r="D9" s="347">
        <v>3198</v>
      </c>
      <c r="E9" s="348">
        <v>0</v>
      </c>
      <c r="F9" s="349">
        <f t="shared" si="0"/>
        <v>0</v>
      </c>
      <c r="G9" s="350">
        <v>2085.4966442953018</v>
      </c>
      <c r="H9" s="351">
        <f t="shared" si="1"/>
        <v>65.212527964205805</v>
      </c>
      <c r="I9" s="347">
        <v>321.94630872483219</v>
      </c>
      <c r="J9" s="349">
        <f t="shared" si="2"/>
        <v>10.067114093959731</v>
      </c>
      <c r="K9" s="347">
        <v>0</v>
      </c>
      <c r="L9" s="351">
        <f t="shared" si="3"/>
        <v>0</v>
      </c>
      <c r="M9" s="352">
        <v>0</v>
      </c>
      <c r="N9" s="351">
        <f t="shared" si="4"/>
        <v>0</v>
      </c>
      <c r="O9" s="353">
        <v>214.63087248322148</v>
      </c>
      <c r="P9" s="351">
        <f t="shared" si="5"/>
        <v>6.7114093959731536</v>
      </c>
      <c r="Q9" s="347">
        <f>O9+M9+K9+I9+G9+E9</f>
        <v>2622.0738255033557</v>
      </c>
      <c r="R9" s="351">
        <f t="shared" si="7"/>
        <v>81.991051454138699</v>
      </c>
      <c r="S9" s="347">
        <f t="shared" si="8"/>
        <v>575.92617449664431</v>
      </c>
      <c r="T9" s="351">
        <f t="shared" si="9"/>
        <v>18.008948545861298</v>
      </c>
      <c r="U9" s="355" t="s">
        <v>507</v>
      </c>
      <c r="V9" s="346"/>
    </row>
    <row r="10" spans="1:22" x14ac:dyDescent="0.25">
      <c r="A10" s="542"/>
      <c r="B10" s="346">
        <v>6</v>
      </c>
      <c r="C10" s="346" t="s">
        <v>984</v>
      </c>
      <c r="D10" s="347">
        <v>2272</v>
      </c>
      <c r="E10" s="348">
        <v>0</v>
      </c>
      <c r="F10" s="349">
        <f t="shared" si="0"/>
        <v>0</v>
      </c>
      <c r="G10" s="350">
        <v>150.9984544049459</v>
      </c>
      <c r="H10" s="351">
        <f t="shared" si="1"/>
        <v>6.6460587326120555</v>
      </c>
      <c r="I10" s="347">
        <v>1074.5471406491499</v>
      </c>
      <c r="J10" s="349">
        <f t="shared" si="2"/>
        <v>47.295208655332303</v>
      </c>
      <c r="K10" s="347">
        <v>17.557959814528594</v>
      </c>
      <c r="L10" s="351">
        <f t="shared" si="3"/>
        <v>0.77279752704791349</v>
      </c>
      <c r="M10" s="352">
        <v>0</v>
      </c>
      <c r="N10" s="351">
        <f t="shared" si="4"/>
        <v>0</v>
      </c>
      <c r="O10" s="353">
        <v>175.57959814528596</v>
      </c>
      <c r="P10" s="351">
        <f t="shared" si="5"/>
        <v>7.7279752704791358</v>
      </c>
      <c r="Q10" s="347">
        <f t="shared" ref="Q10:Q12" si="10">O10+M10+K10+I10+G10+E10</f>
        <v>1418.6831530139104</v>
      </c>
      <c r="R10" s="351">
        <f t="shared" si="7"/>
        <v>62.442040185471406</v>
      </c>
      <c r="S10" s="347">
        <f t="shared" si="8"/>
        <v>853.31684698608956</v>
      </c>
      <c r="T10" s="351">
        <f t="shared" si="9"/>
        <v>37.557959814528587</v>
      </c>
      <c r="U10" s="355" t="s">
        <v>507</v>
      </c>
      <c r="V10" s="346"/>
    </row>
    <row r="11" spans="1:22" x14ac:dyDescent="0.25">
      <c r="A11" s="542"/>
      <c r="B11" s="346">
        <v>7</v>
      </c>
      <c r="C11" s="346" t="s">
        <v>985</v>
      </c>
      <c r="D11" s="347">
        <v>1168</v>
      </c>
      <c r="E11" s="348">
        <v>0</v>
      </c>
      <c r="F11" s="349">
        <f t="shared" si="0"/>
        <v>0</v>
      </c>
      <c r="G11" s="350">
        <v>453.8313253012048</v>
      </c>
      <c r="H11" s="351">
        <f t="shared" si="1"/>
        <v>38.855421686746986</v>
      </c>
      <c r="I11" s="347">
        <v>204.04819277108433</v>
      </c>
      <c r="J11" s="349">
        <f t="shared" si="2"/>
        <v>17.46987951807229</v>
      </c>
      <c r="K11" s="347">
        <v>0</v>
      </c>
      <c r="L11" s="351">
        <f t="shared" si="3"/>
        <v>0</v>
      </c>
      <c r="M11" s="352">
        <v>0</v>
      </c>
      <c r="N11" s="351">
        <f t="shared" si="4"/>
        <v>0</v>
      </c>
      <c r="O11" s="353">
        <v>401.06024096385539</v>
      </c>
      <c r="P11" s="351">
        <f t="shared" si="5"/>
        <v>34.337349397590359</v>
      </c>
      <c r="Q11" s="347">
        <f t="shared" si="10"/>
        <v>1058.9397590361446</v>
      </c>
      <c r="R11" s="351">
        <f t="shared" si="7"/>
        <v>90.662650602409641</v>
      </c>
      <c r="S11" s="347">
        <f t="shared" si="8"/>
        <v>109.06024096385545</v>
      </c>
      <c r="T11" s="351">
        <f t="shared" si="9"/>
        <v>9.3373493975903639</v>
      </c>
      <c r="U11" s="355" t="s">
        <v>507</v>
      </c>
      <c r="V11" s="346"/>
    </row>
    <row r="12" spans="1:22" x14ac:dyDescent="0.25">
      <c r="A12" s="543"/>
      <c r="B12" s="346">
        <v>8</v>
      </c>
      <c r="C12" s="346" t="s">
        <v>986</v>
      </c>
      <c r="D12" s="347">
        <v>1022</v>
      </c>
      <c r="E12" s="348">
        <v>0</v>
      </c>
      <c r="F12" s="349">
        <f t="shared" si="0"/>
        <v>0</v>
      </c>
      <c r="G12" s="350">
        <v>169.67567567567568</v>
      </c>
      <c r="H12" s="351">
        <f t="shared" si="1"/>
        <v>16.602316602316602</v>
      </c>
      <c r="I12" s="347">
        <v>710.27027027027032</v>
      </c>
      <c r="J12" s="349">
        <f t="shared" si="2"/>
        <v>69.498069498069498</v>
      </c>
      <c r="K12" s="347">
        <v>39.45945945945946</v>
      </c>
      <c r="L12" s="351">
        <f t="shared" si="3"/>
        <v>3.8610038610038608</v>
      </c>
      <c r="M12" s="352">
        <v>0</v>
      </c>
      <c r="N12" s="351">
        <f t="shared" si="4"/>
        <v>0</v>
      </c>
      <c r="O12" s="353">
        <v>0</v>
      </c>
      <c r="P12" s="351">
        <f t="shared" si="5"/>
        <v>0</v>
      </c>
      <c r="Q12" s="347">
        <f t="shared" si="10"/>
        <v>919.40540540540542</v>
      </c>
      <c r="R12" s="351">
        <f t="shared" si="7"/>
        <v>89.961389961389969</v>
      </c>
      <c r="S12" s="347">
        <f t="shared" si="8"/>
        <v>102.59459459459458</v>
      </c>
      <c r="T12" s="351">
        <f t="shared" si="9"/>
        <v>10.038610038610038</v>
      </c>
      <c r="U12" s="355" t="s">
        <v>507</v>
      </c>
      <c r="V12" s="346"/>
    </row>
    <row r="13" spans="1:22" x14ac:dyDescent="0.25">
      <c r="A13" s="550">
        <v>2</v>
      </c>
      <c r="B13" s="545" t="s">
        <v>23</v>
      </c>
      <c r="C13" s="545"/>
      <c r="D13" s="356">
        <f>SUM(D5:D12)</f>
        <v>17014</v>
      </c>
      <c r="E13" s="356">
        <f>SUM(E5:E12)</f>
        <v>1786.6167832167832</v>
      </c>
      <c r="F13" s="357">
        <f>SUM(F5:F12)/8</f>
        <v>8.05944055944056</v>
      </c>
      <c r="G13" s="356">
        <f t="shared" ref="G13" si="11">SUM(G5:G12)</f>
        <v>3483.9515314953101</v>
      </c>
      <c r="H13" s="357">
        <f t="shared" ref="H13" si="12">SUM(H5:H12)/8</f>
        <v>19.969938350507906</v>
      </c>
      <c r="I13" s="356">
        <f t="shared" ref="I13" si="13">SUM(I5:I12)</f>
        <v>7071.8427397817495</v>
      </c>
      <c r="J13" s="357">
        <f t="shared" ref="J13" si="14">SUM(J5:J12)/8</f>
        <v>45.184497366135446</v>
      </c>
      <c r="K13" s="356">
        <f t="shared" ref="K13" si="15">SUM(K5:K12)</f>
        <v>342.64442286250483</v>
      </c>
      <c r="L13" s="357">
        <f t="shared" ref="L13" si="16">SUM(L5:L12)/8</f>
        <v>2.4134805562815917</v>
      </c>
      <c r="M13" s="356">
        <f t="shared" ref="M13" si="17">SUM(M5:M12)</f>
        <v>553.92699724517911</v>
      </c>
      <c r="N13" s="357">
        <f t="shared" ref="N13" si="18">SUM(N5:N12)/8</f>
        <v>2.5654269972451793</v>
      </c>
      <c r="O13" s="356">
        <f t="shared" ref="O13" si="19">SUM(O5:O12)</f>
        <v>1404.6798025014537</v>
      </c>
      <c r="P13" s="357">
        <f t="shared" ref="P13" si="20">SUM(P5:P12)/8</f>
        <v>8.938000848914422</v>
      </c>
      <c r="Q13" s="356">
        <f t="shared" ref="Q13" si="21">SUM(Q5:Q12)</f>
        <v>14643.66227710298</v>
      </c>
      <c r="R13" s="356">
        <f t="shared" ref="R13" si="22">SUM(R5:R12)/8</f>
        <v>87.130784678525103</v>
      </c>
      <c r="S13" s="356">
        <f t="shared" ref="S13" si="23">SUM(S5:S12)</f>
        <v>2370.3377228970185</v>
      </c>
      <c r="T13" s="357">
        <f t="shared" ref="T13" si="24">SUM(T5:T12)/8</f>
        <v>12.86921532147489</v>
      </c>
      <c r="U13" s="358"/>
      <c r="V13" s="358"/>
    </row>
    <row r="14" spans="1:22" x14ac:dyDescent="0.25">
      <c r="A14" s="542"/>
      <c r="B14" s="549" t="s">
        <v>987</v>
      </c>
      <c r="C14" s="549"/>
      <c r="D14" s="359"/>
      <c r="E14" s="359"/>
      <c r="F14" s="360"/>
      <c r="G14" s="359"/>
      <c r="H14" s="360"/>
      <c r="I14" s="359"/>
      <c r="J14" s="360"/>
      <c r="K14" s="359"/>
      <c r="L14" s="360"/>
      <c r="M14" s="359"/>
      <c r="N14" s="360"/>
      <c r="O14" s="359"/>
      <c r="P14" s="360"/>
      <c r="Q14" s="359"/>
      <c r="R14" s="359"/>
      <c r="S14" s="359"/>
      <c r="T14" s="360"/>
      <c r="U14" s="361"/>
      <c r="V14" s="361"/>
    </row>
    <row r="15" spans="1:22" x14ac:dyDescent="0.25">
      <c r="A15" s="542"/>
      <c r="B15" s="346">
        <v>1</v>
      </c>
      <c r="C15" s="362" t="s">
        <v>988</v>
      </c>
      <c r="D15" s="363">
        <v>2397</v>
      </c>
      <c r="E15" s="363">
        <v>0</v>
      </c>
      <c r="F15" s="349">
        <f t="shared" ref="F15:F24" si="25">(E15*100)/D15</f>
        <v>0</v>
      </c>
      <c r="G15" s="364">
        <v>146.15853658536585</v>
      </c>
      <c r="H15" s="349">
        <f>(G15*100)/D15</f>
        <v>6.0975609756097562</v>
      </c>
      <c r="I15" s="365">
        <v>1677.1692073170732</v>
      </c>
      <c r="J15" s="349">
        <f>(I15*100)/D15</f>
        <v>69.969512195121951</v>
      </c>
      <c r="K15" s="363">
        <v>164.42835365853657</v>
      </c>
      <c r="L15" s="349">
        <f>(K15*100)/D15</f>
        <v>6.8597560975609753</v>
      </c>
      <c r="M15" s="352">
        <v>0</v>
      </c>
      <c r="N15" s="349">
        <f>(M15*100)/D15</f>
        <v>0</v>
      </c>
      <c r="O15" s="365">
        <v>0</v>
      </c>
      <c r="P15" s="349">
        <f>(O15*100)/D15</f>
        <v>0</v>
      </c>
      <c r="Q15" s="352">
        <f>E15+G15+I15+K15+M15+O15</f>
        <v>1987.7560975609756</v>
      </c>
      <c r="R15" s="349">
        <f>(Q15*100)/D15</f>
        <v>82.926829268292678</v>
      </c>
      <c r="S15" s="347">
        <f t="shared" ref="S15:S24" si="26">D15-Q15</f>
        <v>409.2439024390244</v>
      </c>
      <c r="T15" s="349">
        <f>(S15*100)/D15</f>
        <v>17.073170731707318</v>
      </c>
      <c r="U15" s="355" t="s">
        <v>507</v>
      </c>
      <c r="V15" s="346"/>
    </row>
    <row r="16" spans="1:22" x14ac:dyDescent="0.25">
      <c r="A16" s="542"/>
      <c r="B16" s="346">
        <v>2</v>
      </c>
      <c r="C16" s="362" t="s">
        <v>989</v>
      </c>
      <c r="D16" s="363">
        <v>1608</v>
      </c>
      <c r="E16" s="363">
        <v>338.92271662763466</v>
      </c>
      <c r="F16" s="349">
        <f t="shared" si="25"/>
        <v>21.07728337236534</v>
      </c>
      <c r="G16" s="364">
        <v>0</v>
      </c>
      <c r="H16" s="349">
        <f t="shared" ref="H16:H24" si="27">(G16*100)/D16</f>
        <v>0</v>
      </c>
      <c r="I16" s="365">
        <v>888.73067915690876</v>
      </c>
      <c r="J16" s="349">
        <f t="shared" ref="J16:J24" si="28">(I16*100)/D16</f>
        <v>55.269320843091336</v>
      </c>
      <c r="K16" s="363">
        <v>229.71428571428572</v>
      </c>
      <c r="L16" s="349">
        <f t="shared" ref="L16:L24" si="29">(K16*100)/D16</f>
        <v>14.285714285714286</v>
      </c>
      <c r="M16" s="352">
        <v>0</v>
      </c>
      <c r="N16" s="349">
        <f t="shared" ref="N16:N24" si="30">(M16*100)/D16</f>
        <v>0</v>
      </c>
      <c r="O16" s="365">
        <v>0</v>
      </c>
      <c r="P16" s="349">
        <f t="shared" ref="P16:P24" si="31">(O16*100)/D16</f>
        <v>0</v>
      </c>
      <c r="Q16" s="352">
        <f>E16+G16+I16+K16+M16+O16</f>
        <v>1457.3676814988291</v>
      </c>
      <c r="R16" s="349">
        <f>(Q16*100)/D16</f>
        <v>90.632318501170957</v>
      </c>
      <c r="S16" s="347">
        <f t="shared" si="26"/>
        <v>150.63231850117086</v>
      </c>
      <c r="T16" s="349">
        <f t="shared" ref="T16:T24" si="32">(S16*100)/D16</f>
        <v>9.3676814988290324</v>
      </c>
      <c r="U16" s="355" t="s">
        <v>507</v>
      </c>
      <c r="V16" s="346"/>
    </row>
    <row r="17" spans="1:22" x14ac:dyDescent="0.25">
      <c r="A17" s="542"/>
      <c r="B17" s="346">
        <v>3</v>
      </c>
      <c r="C17" s="362" t="s">
        <v>990</v>
      </c>
      <c r="D17" s="363">
        <v>2685</v>
      </c>
      <c r="E17" s="363">
        <v>836.15916955017303</v>
      </c>
      <c r="F17" s="349">
        <f t="shared" si="25"/>
        <v>31.141868512110729</v>
      </c>
      <c r="G17" s="364">
        <v>387.11072664359864</v>
      </c>
      <c r="H17" s="349">
        <f>(G17*100)/D17</f>
        <v>14.41753171856978</v>
      </c>
      <c r="I17" s="365">
        <v>768.0276816608997</v>
      </c>
      <c r="J17" s="349">
        <f t="shared" si="28"/>
        <v>28.604382929642448</v>
      </c>
      <c r="K17" s="363">
        <v>377.82006920415228</v>
      </c>
      <c r="L17" s="349">
        <f t="shared" si="29"/>
        <v>14.071510957324106</v>
      </c>
      <c r="M17" s="352">
        <v>0</v>
      </c>
      <c r="N17" s="349">
        <f t="shared" si="30"/>
        <v>0</v>
      </c>
      <c r="O17" s="365">
        <v>0</v>
      </c>
      <c r="P17" s="349">
        <f t="shared" si="31"/>
        <v>0</v>
      </c>
      <c r="Q17" s="352">
        <f t="shared" ref="Q17:Q24" si="33">O17+M17+K17+I17+G17+E17</f>
        <v>2369.1176470588234</v>
      </c>
      <c r="R17" s="349">
        <f t="shared" ref="R17:R24" si="34">(Q17*100)/D17</f>
        <v>88.235294117647058</v>
      </c>
      <c r="S17" s="347">
        <f t="shared" si="26"/>
        <v>315.88235294117658</v>
      </c>
      <c r="T17" s="349">
        <f t="shared" si="32"/>
        <v>11.764705882352946</v>
      </c>
      <c r="U17" s="355" t="s">
        <v>507</v>
      </c>
      <c r="V17" s="346"/>
    </row>
    <row r="18" spans="1:22" x14ac:dyDescent="0.25">
      <c r="A18" s="542"/>
      <c r="B18" s="346">
        <v>4</v>
      </c>
      <c r="C18" s="362" t="s">
        <v>991</v>
      </c>
      <c r="D18" s="363">
        <v>2850</v>
      </c>
      <c r="E18" s="363">
        <v>1033.953488372093</v>
      </c>
      <c r="F18" s="349">
        <f t="shared" si="25"/>
        <v>36.279069767441861</v>
      </c>
      <c r="G18" s="364">
        <v>410.93023255813955</v>
      </c>
      <c r="H18" s="349">
        <f t="shared" si="27"/>
        <v>14.418604651162791</v>
      </c>
      <c r="I18" s="365">
        <v>782.09302325581393</v>
      </c>
      <c r="J18" s="349">
        <f t="shared" si="28"/>
        <v>27.441860465116278</v>
      </c>
      <c r="K18" s="363">
        <v>367.84883720930236</v>
      </c>
      <c r="L18" s="349">
        <f t="shared" si="29"/>
        <v>12.906976744186048</v>
      </c>
      <c r="M18" s="352">
        <v>0</v>
      </c>
      <c r="N18" s="349">
        <f t="shared" si="30"/>
        <v>0</v>
      </c>
      <c r="O18" s="365">
        <v>0</v>
      </c>
      <c r="P18" s="349">
        <f t="shared" si="31"/>
        <v>0</v>
      </c>
      <c r="Q18" s="352">
        <f t="shared" si="33"/>
        <v>2594.8255813953492</v>
      </c>
      <c r="R18" s="349">
        <f t="shared" si="34"/>
        <v>91.046511627906995</v>
      </c>
      <c r="S18" s="347">
        <f t="shared" si="26"/>
        <v>255.17441860465078</v>
      </c>
      <c r="T18" s="349">
        <f t="shared" si="32"/>
        <v>8.9534883720930107</v>
      </c>
      <c r="U18" s="355" t="s">
        <v>507</v>
      </c>
      <c r="V18" s="346"/>
    </row>
    <row r="19" spans="1:22" x14ac:dyDescent="0.25">
      <c r="A19" s="542"/>
      <c r="B19" s="346">
        <v>5</v>
      </c>
      <c r="C19" s="362" t="s">
        <v>992</v>
      </c>
      <c r="D19" s="363">
        <v>2805</v>
      </c>
      <c r="E19" s="363">
        <v>0</v>
      </c>
      <c r="F19" s="349">
        <f t="shared" si="25"/>
        <v>0</v>
      </c>
      <c r="G19" s="364">
        <v>175.06934812760056</v>
      </c>
      <c r="H19" s="349">
        <f t="shared" si="27"/>
        <v>6.2413314840499314</v>
      </c>
      <c r="I19" s="365">
        <v>1960.7766990291263</v>
      </c>
      <c r="J19" s="349">
        <f t="shared" si="28"/>
        <v>69.902912621359221</v>
      </c>
      <c r="K19" s="363">
        <v>194.52149791955617</v>
      </c>
      <c r="L19" s="349">
        <f t="shared" si="29"/>
        <v>6.9348127600554781</v>
      </c>
      <c r="M19" s="352">
        <v>0</v>
      </c>
      <c r="N19" s="349">
        <f t="shared" si="30"/>
        <v>0</v>
      </c>
      <c r="O19" s="365">
        <v>0</v>
      </c>
      <c r="P19" s="349">
        <f t="shared" si="31"/>
        <v>0</v>
      </c>
      <c r="Q19" s="352">
        <f t="shared" si="33"/>
        <v>2330.3675450762835</v>
      </c>
      <c r="R19" s="349">
        <f t="shared" si="34"/>
        <v>83.079056865464651</v>
      </c>
      <c r="S19" s="347">
        <f t="shared" si="26"/>
        <v>474.63245492371652</v>
      </c>
      <c r="T19" s="349">
        <f t="shared" si="32"/>
        <v>16.920943134535349</v>
      </c>
      <c r="U19" s="355" t="s">
        <v>507</v>
      </c>
      <c r="V19" s="346"/>
    </row>
    <row r="20" spans="1:22" x14ac:dyDescent="0.25">
      <c r="A20" s="542"/>
      <c r="B20" s="346">
        <v>6</v>
      </c>
      <c r="C20" s="362" t="s">
        <v>993</v>
      </c>
      <c r="D20" s="363">
        <v>2459</v>
      </c>
      <c r="E20" s="363">
        <v>1139.3607038123166</v>
      </c>
      <c r="F20" s="349">
        <f t="shared" si="25"/>
        <v>46.334310850439877</v>
      </c>
      <c r="G20" s="364">
        <v>133.40615835777126</v>
      </c>
      <c r="H20" s="349">
        <f t="shared" si="27"/>
        <v>5.4252199413489732</v>
      </c>
      <c r="I20" s="365">
        <v>778.80351906158353</v>
      </c>
      <c r="J20" s="349">
        <f t="shared" si="28"/>
        <v>31.67155425219941</v>
      </c>
      <c r="K20" s="363">
        <v>165.85630498533723</v>
      </c>
      <c r="L20" s="349">
        <f t="shared" si="29"/>
        <v>6.7448680351906152</v>
      </c>
      <c r="M20" s="352">
        <v>0</v>
      </c>
      <c r="N20" s="349">
        <f t="shared" si="30"/>
        <v>0</v>
      </c>
      <c r="O20" s="365">
        <v>0</v>
      </c>
      <c r="P20" s="349">
        <f t="shared" si="31"/>
        <v>0</v>
      </c>
      <c r="Q20" s="352">
        <f t="shared" si="33"/>
        <v>2217.4266862170089</v>
      </c>
      <c r="R20" s="349">
        <f t="shared" si="34"/>
        <v>90.175953079178896</v>
      </c>
      <c r="S20" s="347">
        <f t="shared" si="26"/>
        <v>241.57331378299114</v>
      </c>
      <c r="T20" s="349">
        <f t="shared" si="32"/>
        <v>9.824046920821111</v>
      </c>
      <c r="U20" s="355" t="s">
        <v>507</v>
      </c>
      <c r="V20" s="346"/>
    </row>
    <row r="21" spans="1:22" x14ac:dyDescent="0.25">
      <c r="A21" s="542"/>
      <c r="B21" s="346">
        <v>7</v>
      </c>
      <c r="C21" s="362" t="s">
        <v>994</v>
      </c>
      <c r="D21" s="363">
        <v>1612</v>
      </c>
      <c r="E21" s="363">
        <v>666.5</v>
      </c>
      <c r="F21" s="349">
        <f t="shared" si="25"/>
        <v>41.346153846153847</v>
      </c>
      <c r="G21" s="364">
        <v>220.1</v>
      </c>
      <c r="H21" s="349">
        <f t="shared" si="27"/>
        <v>13.653846153846153</v>
      </c>
      <c r="I21" s="365">
        <v>424.7</v>
      </c>
      <c r="J21" s="349">
        <f t="shared" si="28"/>
        <v>26.346153846153847</v>
      </c>
      <c r="K21" s="363">
        <v>37.200000000000003</v>
      </c>
      <c r="L21" s="349">
        <f t="shared" si="29"/>
        <v>2.3076923076923079</v>
      </c>
      <c r="M21" s="352">
        <v>0</v>
      </c>
      <c r="N21" s="349">
        <f>(M21*100)/D21</f>
        <v>0</v>
      </c>
      <c r="O21" s="365">
        <v>0</v>
      </c>
      <c r="P21" s="349">
        <f t="shared" si="31"/>
        <v>0</v>
      </c>
      <c r="Q21" s="352">
        <f t="shared" si="33"/>
        <v>1348.5</v>
      </c>
      <c r="R21" s="349">
        <f t="shared" si="34"/>
        <v>83.65384615384616</v>
      </c>
      <c r="S21" s="347">
        <f t="shared" si="26"/>
        <v>263.5</v>
      </c>
      <c r="T21" s="349">
        <f t="shared" si="32"/>
        <v>16.346153846153847</v>
      </c>
      <c r="U21" s="355" t="s">
        <v>507</v>
      </c>
      <c r="V21" s="346"/>
    </row>
    <row r="22" spans="1:22" x14ac:dyDescent="0.25">
      <c r="A22" s="542"/>
      <c r="B22" s="346">
        <v>8</v>
      </c>
      <c r="C22" s="362" t="s">
        <v>995</v>
      </c>
      <c r="D22" s="363">
        <v>2299</v>
      </c>
      <c r="E22" s="363">
        <v>0</v>
      </c>
      <c r="F22" s="349">
        <f t="shared" si="25"/>
        <v>0</v>
      </c>
      <c r="G22" s="364">
        <v>172.33883058470764</v>
      </c>
      <c r="H22" s="349">
        <f t="shared" si="27"/>
        <v>7.4962518740629687</v>
      </c>
      <c r="I22" s="365">
        <v>1747.5157421289355</v>
      </c>
      <c r="J22" s="349">
        <f t="shared" si="28"/>
        <v>76.011994002998506</v>
      </c>
      <c r="K22" s="363">
        <v>210.25337331334333</v>
      </c>
      <c r="L22" s="349">
        <f t="shared" si="29"/>
        <v>9.1454272863568207</v>
      </c>
      <c r="M22" s="352">
        <v>0</v>
      </c>
      <c r="N22" s="349">
        <f t="shared" si="30"/>
        <v>0</v>
      </c>
      <c r="O22" s="365">
        <v>0</v>
      </c>
      <c r="P22" s="349">
        <f t="shared" si="31"/>
        <v>0</v>
      </c>
      <c r="Q22" s="352">
        <f t="shared" si="33"/>
        <v>2130.1079460269862</v>
      </c>
      <c r="R22" s="349">
        <f t="shared" si="34"/>
        <v>92.653673163418276</v>
      </c>
      <c r="S22" s="347">
        <f t="shared" si="26"/>
        <v>168.89205397301384</v>
      </c>
      <c r="T22" s="349">
        <f t="shared" si="32"/>
        <v>7.3463268365817234</v>
      </c>
      <c r="U22" s="355" t="s">
        <v>507</v>
      </c>
      <c r="V22" s="346"/>
    </row>
    <row r="23" spans="1:22" x14ac:dyDescent="0.25">
      <c r="A23" s="542"/>
      <c r="B23" s="346">
        <v>9</v>
      </c>
      <c r="C23" s="362" t="s">
        <v>996</v>
      </c>
      <c r="D23" s="366">
        <v>2303</v>
      </c>
      <c r="E23" s="363">
        <v>0</v>
      </c>
      <c r="F23" s="349">
        <f t="shared" si="25"/>
        <v>0</v>
      </c>
      <c r="G23" s="364">
        <v>872.64672364672367</v>
      </c>
      <c r="H23" s="349">
        <f t="shared" si="27"/>
        <v>37.891737891737897</v>
      </c>
      <c r="I23" s="365">
        <v>951.3817663817664</v>
      </c>
      <c r="J23" s="349">
        <f t="shared" si="28"/>
        <v>41.310541310541311</v>
      </c>
      <c r="K23" s="363">
        <v>19.683760683760685</v>
      </c>
      <c r="L23" s="349">
        <f t="shared" si="29"/>
        <v>0.85470085470085477</v>
      </c>
      <c r="M23" s="352">
        <v>0</v>
      </c>
      <c r="N23" s="349">
        <f t="shared" si="30"/>
        <v>0</v>
      </c>
      <c r="O23" s="365">
        <v>0</v>
      </c>
      <c r="P23" s="349">
        <f t="shared" si="31"/>
        <v>0</v>
      </c>
      <c r="Q23" s="352">
        <f t="shared" si="33"/>
        <v>1843.7122507122508</v>
      </c>
      <c r="R23" s="349">
        <f t="shared" si="34"/>
        <v>80.056980056980066</v>
      </c>
      <c r="S23" s="347">
        <f t="shared" si="26"/>
        <v>459.28774928774919</v>
      </c>
      <c r="T23" s="349">
        <f t="shared" si="32"/>
        <v>19.943019943019937</v>
      </c>
      <c r="U23" s="355" t="s">
        <v>507</v>
      </c>
      <c r="V23" s="346"/>
    </row>
    <row r="24" spans="1:22" x14ac:dyDescent="0.25">
      <c r="A24" s="542"/>
      <c r="B24" s="346">
        <v>10</v>
      </c>
      <c r="C24" s="362" t="s">
        <v>997</v>
      </c>
      <c r="D24" s="366">
        <v>1864</v>
      </c>
      <c r="E24" s="363">
        <v>798.85714285714278</v>
      </c>
      <c r="F24" s="349">
        <f t="shared" si="25"/>
        <v>42.857142857142854</v>
      </c>
      <c r="G24" s="364">
        <v>0</v>
      </c>
      <c r="H24" s="349">
        <f t="shared" si="27"/>
        <v>0</v>
      </c>
      <c r="I24" s="365">
        <v>792.11573236889683</v>
      </c>
      <c r="J24" s="349">
        <f t="shared" si="28"/>
        <v>42.495479204339958</v>
      </c>
      <c r="K24" s="363">
        <v>128.08679927667268</v>
      </c>
      <c r="L24" s="349">
        <f t="shared" si="29"/>
        <v>6.8716094032549719</v>
      </c>
      <c r="M24" s="352">
        <v>0</v>
      </c>
      <c r="N24" s="349">
        <f t="shared" si="30"/>
        <v>0</v>
      </c>
      <c r="O24" s="365">
        <v>0</v>
      </c>
      <c r="P24" s="349">
        <f t="shared" si="31"/>
        <v>0</v>
      </c>
      <c r="Q24" s="352">
        <f t="shared" si="33"/>
        <v>1719.0596745027124</v>
      </c>
      <c r="R24" s="349">
        <f t="shared" si="34"/>
        <v>92.224231464737798</v>
      </c>
      <c r="S24" s="347">
        <f t="shared" si="26"/>
        <v>144.94032549728763</v>
      </c>
      <c r="T24" s="349">
        <f t="shared" si="32"/>
        <v>7.7757685352622117</v>
      </c>
      <c r="U24" s="355" t="s">
        <v>507</v>
      </c>
      <c r="V24" s="346"/>
    </row>
    <row r="25" spans="1:22" s="367" customFormat="1" x14ac:dyDescent="0.25">
      <c r="A25" s="543"/>
      <c r="B25" s="545" t="s">
        <v>23</v>
      </c>
      <c r="C25" s="545"/>
      <c r="D25" s="356">
        <f>SUM(D15:D24)</f>
        <v>22882</v>
      </c>
      <c r="E25" s="356">
        <f>SUM(E15:E24)</f>
        <v>4813.7532212193601</v>
      </c>
      <c r="F25" s="357">
        <f>SUM(F15:F24)/10</f>
        <v>21.903582920565452</v>
      </c>
      <c r="G25" s="356">
        <f t="shared" ref="G25" si="35">SUM(G15:G24)</f>
        <v>2517.7605565039071</v>
      </c>
      <c r="H25" s="357">
        <f>SUM(H15:H24)/10</f>
        <v>10.564208469038823</v>
      </c>
      <c r="I25" s="356">
        <f t="shared" ref="I25" si="36">SUM(I15:I24)</f>
        <v>10771.314050361005</v>
      </c>
      <c r="J25" s="357">
        <f>SUM(J15:J24)/10</f>
        <v>46.902371167056437</v>
      </c>
      <c r="K25" s="356">
        <f t="shared" ref="K25" si="37">SUM(K15:K24)</f>
        <v>1895.4132819649469</v>
      </c>
      <c r="L25" s="357">
        <f>SUM(L15:L24)/10</f>
        <v>8.0983068732036454</v>
      </c>
      <c r="M25" s="356">
        <f t="shared" ref="M25" si="38">SUM(M15:M24)</f>
        <v>0</v>
      </c>
      <c r="N25" s="357">
        <f>SUM(N15:N24)/10</f>
        <v>0</v>
      </c>
      <c r="O25" s="356">
        <f t="shared" ref="O25" si="39">SUM(O15:O24)</f>
        <v>0</v>
      </c>
      <c r="P25" s="357">
        <f>SUM(P15:P24)/10</f>
        <v>0</v>
      </c>
      <c r="Q25" s="356">
        <f t="shared" ref="Q25" si="40">SUM(Q15:Q24)</f>
        <v>19998.241110049217</v>
      </c>
      <c r="R25" s="356">
        <f>SUM(R15:R24)/10</f>
        <v>87.468469429864342</v>
      </c>
      <c r="S25" s="356">
        <f t="shared" ref="S25" si="41">SUM(S15:S24)</f>
        <v>2883.7588899507809</v>
      </c>
      <c r="T25" s="357">
        <f>SUM(T15:T24)/10</f>
        <v>12.531530570135647</v>
      </c>
      <c r="U25" s="358"/>
      <c r="V25" s="358"/>
    </row>
    <row r="26" spans="1:22" x14ac:dyDescent="0.25">
      <c r="A26" s="550" t="s">
        <v>767</v>
      </c>
      <c r="B26" s="549" t="s">
        <v>998</v>
      </c>
      <c r="C26" s="549"/>
      <c r="D26" s="359"/>
      <c r="E26" s="359"/>
      <c r="F26" s="360"/>
      <c r="G26" s="359"/>
      <c r="H26" s="360"/>
      <c r="I26" s="359"/>
      <c r="J26" s="360"/>
      <c r="K26" s="359"/>
      <c r="L26" s="360"/>
      <c r="M26" s="359"/>
      <c r="N26" s="360"/>
      <c r="O26" s="359"/>
      <c r="P26" s="360"/>
      <c r="Q26" s="359"/>
      <c r="R26" s="359"/>
      <c r="S26" s="359"/>
      <c r="T26" s="360"/>
      <c r="U26" s="361"/>
      <c r="V26" s="361"/>
    </row>
    <row r="27" spans="1:22" x14ac:dyDescent="0.25">
      <c r="A27" s="542"/>
      <c r="B27" s="346">
        <v>1</v>
      </c>
      <c r="C27" s="368" t="s">
        <v>999</v>
      </c>
      <c r="D27" s="363">
        <v>2565</v>
      </c>
      <c r="E27" s="363">
        <v>1683.9782608695652</v>
      </c>
      <c r="F27" s="349">
        <f t="shared" ref="F27:F37" si="42">(E27*100)/D27</f>
        <v>65.65217391304347</v>
      </c>
      <c r="G27" s="369">
        <v>0</v>
      </c>
      <c r="H27" s="349">
        <f t="shared" ref="H27:H37" si="43">(G27*100)/D27</f>
        <v>0</v>
      </c>
      <c r="I27" s="365">
        <v>687.71739130434787</v>
      </c>
      <c r="J27" s="351">
        <f t="shared" ref="J27:J37" si="44">(I27*100)/D27</f>
        <v>26.811594202898551</v>
      </c>
      <c r="K27" s="363">
        <v>182.15217391304347</v>
      </c>
      <c r="L27" s="349">
        <f t="shared" ref="L27:L37" si="45">(K27*100)/D27</f>
        <v>7.1014492753623193</v>
      </c>
      <c r="M27" s="363">
        <v>0</v>
      </c>
      <c r="N27" s="349">
        <f t="shared" ref="N27:N37" si="46">(M27*100)/D27</f>
        <v>0</v>
      </c>
      <c r="O27" s="365">
        <v>0</v>
      </c>
      <c r="P27" s="349">
        <f t="shared" ref="P27:P29" si="47">(O27*100)/D27</f>
        <v>0</v>
      </c>
      <c r="Q27" s="347">
        <f t="shared" ref="Q27:Q37" si="48">O27+M27+K27+I27+G27+E27</f>
        <v>2553.8478260869565</v>
      </c>
      <c r="R27" s="351">
        <f t="shared" ref="R27:R37" si="49">(Q27*100)/D27</f>
        <v>99.565217391304344</v>
      </c>
      <c r="S27" s="347">
        <f t="shared" ref="S27:S37" si="50">D27-Q27</f>
        <v>11.152173913043498</v>
      </c>
      <c r="T27" s="351">
        <f t="shared" ref="T27:T37" si="51">(S27*100)/D27</f>
        <v>0.43478260869565294</v>
      </c>
      <c r="U27" s="355" t="s">
        <v>507</v>
      </c>
      <c r="V27" s="346"/>
    </row>
    <row r="28" spans="1:22" x14ac:dyDescent="0.25">
      <c r="A28" s="542"/>
      <c r="B28" s="346">
        <v>2</v>
      </c>
      <c r="C28" s="368" t="s">
        <v>1000</v>
      </c>
      <c r="D28" s="363">
        <v>3265</v>
      </c>
      <c r="E28" s="363">
        <v>0</v>
      </c>
      <c r="F28" s="349">
        <f t="shared" si="42"/>
        <v>0</v>
      </c>
      <c r="G28" s="369">
        <v>2686.1243243243243</v>
      </c>
      <c r="H28" s="349">
        <f t="shared" si="43"/>
        <v>82.270270270270274</v>
      </c>
      <c r="I28" s="365">
        <v>501.22162162162164</v>
      </c>
      <c r="J28" s="351">
        <f t="shared" si="44"/>
        <v>15.351351351351353</v>
      </c>
      <c r="K28" s="363">
        <v>21.178378378378376</v>
      </c>
      <c r="L28" s="349">
        <f t="shared" si="45"/>
        <v>0.64864864864864857</v>
      </c>
      <c r="M28" s="363">
        <v>0</v>
      </c>
      <c r="N28" s="349">
        <f t="shared" si="46"/>
        <v>0</v>
      </c>
      <c r="O28" s="365">
        <v>0</v>
      </c>
      <c r="P28" s="349">
        <f t="shared" si="47"/>
        <v>0</v>
      </c>
      <c r="Q28" s="347">
        <f t="shared" si="48"/>
        <v>3208.5243243243244</v>
      </c>
      <c r="R28" s="351">
        <f t="shared" si="49"/>
        <v>98.270270270270274</v>
      </c>
      <c r="S28" s="347">
        <f t="shared" si="50"/>
        <v>56.475675675675575</v>
      </c>
      <c r="T28" s="351">
        <f t="shared" si="51"/>
        <v>1.7297297297297267</v>
      </c>
      <c r="U28" s="355" t="s">
        <v>507</v>
      </c>
      <c r="V28" s="346"/>
    </row>
    <row r="29" spans="1:22" x14ac:dyDescent="0.25">
      <c r="A29" s="542"/>
      <c r="B29" s="346">
        <v>3</v>
      </c>
      <c r="C29" s="368" t="s">
        <v>998</v>
      </c>
      <c r="D29" s="363">
        <v>4623</v>
      </c>
      <c r="E29" s="363">
        <v>4121.0937961595273</v>
      </c>
      <c r="F29" s="349">
        <f t="shared" si="42"/>
        <v>89.143279172821266</v>
      </c>
      <c r="G29" s="369">
        <v>0</v>
      </c>
      <c r="H29" s="349">
        <f t="shared" si="43"/>
        <v>0</v>
      </c>
      <c r="I29" s="365">
        <v>273.14623338257013</v>
      </c>
      <c r="J29" s="351">
        <f t="shared" si="44"/>
        <v>5.9084194977843421</v>
      </c>
      <c r="K29" s="363">
        <v>40.971935007385525</v>
      </c>
      <c r="L29" s="349">
        <f t="shared" si="45"/>
        <v>0.88626292466765144</v>
      </c>
      <c r="M29" s="363">
        <v>0</v>
      </c>
      <c r="N29" s="349">
        <f t="shared" si="46"/>
        <v>0</v>
      </c>
      <c r="O29" s="365">
        <v>0</v>
      </c>
      <c r="P29" s="349">
        <f t="shared" si="47"/>
        <v>0</v>
      </c>
      <c r="Q29" s="347">
        <f t="shared" si="48"/>
        <v>4435.2119645494831</v>
      </c>
      <c r="R29" s="351">
        <f t="shared" si="49"/>
        <v>95.937961595273279</v>
      </c>
      <c r="S29" s="347">
        <f t="shared" si="50"/>
        <v>187.78803545051687</v>
      </c>
      <c r="T29" s="351">
        <f t="shared" si="51"/>
        <v>4.0620384047267333</v>
      </c>
      <c r="U29" s="355" t="s">
        <v>507</v>
      </c>
      <c r="V29" s="346"/>
    </row>
    <row r="30" spans="1:22" x14ac:dyDescent="0.25">
      <c r="A30" s="542"/>
      <c r="B30" s="346">
        <v>4</v>
      </c>
      <c r="C30" s="368" t="s">
        <v>1001</v>
      </c>
      <c r="D30" s="363">
        <v>2167</v>
      </c>
      <c r="E30" s="363">
        <v>706.4578754578755</v>
      </c>
      <c r="F30" s="349">
        <f t="shared" si="42"/>
        <v>32.600732600732606</v>
      </c>
      <c r="G30" s="369">
        <v>0</v>
      </c>
      <c r="H30" s="349">
        <f t="shared" si="43"/>
        <v>0</v>
      </c>
      <c r="I30" s="365">
        <v>1325.6007326007327</v>
      </c>
      <c r="J30" s="351">
        <f t="shared" si="44"/>
        <v>61.172161172161175</v>
      </c>
      <c r="K30" s="363">
        <v>23.813186813186814</v>
      </c>
      <c r="L30" s="349">
        <f t="shared" si="45"/>
        <v>1.0989010989010988</v>
      </c>
      <c r="M30" s="363">
        <v>0</v>
      </c>
      <c r="N30" s="349">
        <f t="shared" si="46"/>
        <v>0</v>
      </c>
      <c r="O30" s="365">
        <v>0</v>
      </c>
      <c r="P30" s="349">
        <f>(O30*100)/D30</f>
        <v>0</v>
      </c>
      <c r="Q30" s="347">
        <f t="shared" si="48"/>
        <v>2055.8717948717949</v>
      </c>
      <c r="R30" s="351">
        <f t="shared" si="49"/>
        <v>94.871794871794876</v>
      </c>
      <c r="S30" s="347">
        <f t="shared" si="50"/>
        <v>111.12820512820508</v>
      </c>
      <c r="T30" s="351">
        <f t="shared" si="51"/>
        <v>5.128205128205126</v>
      </c>
      <c r="U30" s="355" t="s">
        <v>507</v>
      </c>
      <c r="V30" s="346"/>
    </row>
    <row r="31" spans="1:22" x14ac:dyDescent="0.25">
      <c r="A31" s="542"/>
      <c r="B31" s="346">
        <v>5</v>
      </c>
      <c r="C31" s="368" t="s">
        <v>1002</v>
      </c>
      <c r="D31" s="363">
        <v>2849</v>
      </c>
      <c r="E31" s="363">
        <v>2430.3714285714286</v>
      </c>
      <c r="F31" s="349">
        <f t="shared" si="42"/>
        <v>85.306122448979593</v>
      </c>
      <c r="G31" s="369">
        <v>0</v>
      </c>
      <c r="H31" s="349">
        <f t="shared" si="43"/>
        <v>0</v>
      </c>
      <c r="I31" s="365">
        <v>306.21904761904761</v>
      </c>
      <c r="J31" s="351">
        <f t="shared" si="44"/>
        <v>10.748299319727892</v>
      </c>
      <c r="K31" s="363">
        <v>15.504761904761905</v>
      </c>
      <c r="L31" s="349">
        <f t="shared" si="45"/>
        <v>0.54421768707482987</v>
      </c>
      <c r="M31" s="363">
        <v>0</v>
      </c>
      <c r="N31" s="349">
        <f t="shared" si="46"/>
        <v>0</v>
      </c>
      <c r="O31" s="365">
        <v>0</v>
      </c>
      <c r="P31" s="349">
        <f t="shared" ref="P31:P37" si="52">(O31*100)/D31</f>
        <v>0</v>
      </c>
      <c r="Q31" s="347">
        <f t="shared" si="48"/>
        <v>2752.0952380952381</v>
      </c>
      <c r="R31" s="351">
        <f t="shared" si="49"/>
        <v>96.598639455782305</v>
      </c>
      <c r="S31" s="347">
        <f t="shared" si="50"/>
        <v>96.904761904761926</v>
      </c>
      <c r="T31" s="351">
        <f t="shared" si="51"/>
        <v>3.4013605442176877</v>
      </c>
      <c r="U31" s="355" t="s">
        <v>507</v>
      </c>
      <c r="V31" s="346"/>
    </row>
    <row r="32" spans="1:22" x14ac:dyDescent="0.25">
      <c r="A32" s="542"/>
      <c r="B32" s="346">
        <v>6</v>
      </c>
      <c r="C32" s="368" t="s">
        <v>1003</v>
      </c>
      <c r="D32" s="363">
        <v>4878</v>
      </c>
      <c r="E32" s="363">
        <v>0</v>
      </c>
      <c r="F32" s="349">
        <f t="shared" si="42"/>
        <v>0</v>
      </c>
      <c r="G32" s="369">
        <v>0</v>
      </c>
      <c r="H32" s="349">
        <f t="shared" si="43"/>
        <v>0</v>
      </c>
      <c r="I32" s="365">
        <v>4644.167776298269</v>
      </c>
      <c r="J32" s="351">
        <f t="shared" si="44"/>
        <v>95.206391478029303</v>
      </c>
      <c r="K32" s="363">
        <v>22.733688415446071</v>
      </c>
      <c r="L32" s="349">
        <f t="shared" si="45"/>
        <v>0.46604527296937415</v>
      </c>
      <c r="M32" s="363">
        <v>0</v>
      </c>
      <c r="N32" s="349">
        <f t="shared" si="46"/>
        <v>0</v>
      </c>
      <c r="O32" s="365">
        <v>0</v>
      </c>
      <c r="P32" s="349">
        <f t="shared" si="52"/>
        <v>0</v>
      </c>
      <c r="Q32" s="347">
        <f t="shared" si="48"/>
        <v>4666.9014647137155</v>
      </c>
      <c r="R32" s="351">
        <f t="shared" si="49"/>
        <v>95.672436750998671</v>
      </c>
      <c r="S32" s="347">
        <f t="shared" si="50"/>
        <v>211.09853528628446</v>
      </c>
      <c r="T32" s="351">
        <f t="shared" si="51"/>
        <v>4.3275632490013214</v>
      </c>
      <c r="U32" s="355" t="s">
        <v>507</v>
      </c>
      <c r="V32" s="346"/>
    </row>
    <row r="33" spans="1:22" x14ac:dyDescent="0.25">
      <c r="A33" s="542"/>
      <c r="B33" s="346">
        <v>7</v>
      </c>
      <c r="C33" s="368" t="s">
        <v>1004</v>
      </c>
      <c r="D33" s="363">
        <f>3.1*288</f>
        <v>892.80000000000007</v>
      </c>
      <c r="E33" s="363">
        <v>0</v>
      </c>
      <c r="F33" s="349">
        <f t="shared" si="42"/>
        <v>0</v>
      </c>
      <c r="G33" s="369">
        <v>0</v>
      </c>
      <c r="H33" s="349">
        <f t="shared" si="43"/>
        <v>0</v>
      </c>
      <c r="I33" s="365">
        <v>558.125</v>
      </c>
      <c r="J33" s="351">
        <f t="shared" si="44"/>
        <v>62.51400089605734</v>
      </c>
      <c r="K33" s="363">
        <v>186.04166666666669</v>
      </c>
      <c r="L33" s="349">
        <f t="shared" si="45"/>
        <v>20.838000298685781</v>
      </c>
      <c r="M33" s="363">
        <v>0</v>
      </c>
      <c r="N33" s="349">
        <f t="shared" si="46"/>
        <v>0</v>
      </c>
      <c r="O33" s="365">
        <v>0</v>
      </c>
      <c r="P33" s="349">
        <f t="shared" si="52"/>
        <v>0</v>
      </c>
      <c r="Q33" s="347">
        <f t="shared" si="48"/>
        <v>744.16666666666674</v>
      </c>
      <c r="R33" s="351">
        <f t="shared" si="49"/>
        <v>83.352001194743124</v>
      </c>
      <c r="S33" s="347">
        <f t="shared" si="50"/>
        <v>148.63333333333333</v>
      </c>
      <c r="T33" s="351">
        <f t="shared" si="51"/>
        <v>16.647998805256869</v>
      </c>
      <c r="U33" s="355" t="s">
        <v>507</v>
      </c>
      <c r="V33" s="346"/>
    </row>
    <row r="34" spans="1:22" x14ac:dyDescent="0.25">
      <c r="A34" s="542"/>
      <c r="B34" s="346">
        <v>8</v>
      </c>
      <c r="C34" s="368" t="s">
        <v>1005</v>
      </c>
      <c r="D34" s="363">
        <v>1099</v>
      </c>
      <c r="E34" s="363">
        <v>0</v>
      </c>
      <c r="F34" s="349">
        <f t="shared" si="42"/>
        <v>0</v>
      </c>
      <c r="G34" s="369">
        <v>0</v>
      </c>
      <c r="H34" s="349">
        <f t="shared" si="43"/>
        <v>0</v>
      </c>
      <c r="I34" s="365">
        <v>472.4359756097561</v>
      </c>
      <c r="J34" s="351">
        <f t="shared" si="44"/>
        <v>42.987804878048784</v>
      </c>
      <c r="K34" s="363">
        <v>593.05792682926824</v>
      </c>
      <c r="L34" s="349">
        <f t="shared" si="45"/>
        <v>53.963414634146339</v>
      </c>
      <c r="M34" s="363">
        <v>0</v>
      </c>
      <c r="N34" s="349">
        <f t="shared" si="46"/>
        <v>0</v>
      </c>
      <c r="O34" s="365">
        <v>0</v>
      </c>
      <c r="P34" s="349">
        <f t="shared" si="52"/>
        <v>0</v>
      </c>
      <c r="Q34" s="347">
        <f t="shared" si="48"/>
        <v>1065.4939024390244</v>
      </c>
      <c r="R34" s="351">
        <f t="shared" si="49"/>
        <v>96.951219512195124</v>
      </c>
      <c r="S34" s="347">
        <f t="shared" si="50"/>
        <v>33.506097560975604</v>
      </c>
      <c r="T34" s="351">
        <f t="shared" si="51"/>
        <v>3.0487804878048776</v>
      </c>
      <c r="U34" s="355" t="s">
        <v>507</v>
      </c>
      <c r="V34" s="346"/>
    </row>
    <row r="35" spans="1:22" x14ac:dyDescent="0.25">
      <c r="A35" s="542"/>
      <c r="B35" s="346">
        <v>9</v>
      </c>
      <c r="C35" s="368" t="s">
        <v>1006</v>
      </c>
      <c r="D35" s="363">
        <v>1979</v>
      </c>
      <c r="E35" s="363">
        <v>0</v>
      </c>
      <c r="F35" s="349">
        <f t="shared" si="42"/>
        <v>0</v>
      </c>
      <c r="G35" s="369">
        <v>0</v>
      </c>
      <c r="H35" s="349">
        <f t="shared" si="43"/>
        <v>0</v>
      </c>
      <c r="I35" s="365">
        <v>1660.0883002207504</v>
      </c>
      <c r="J35" s="351">
        <f t="shared" si="44"/>
        <v>83.885209713024281</v>
      </c>
      <c r="K35" s="363">
        <v>65.52980132450331</v>
      </c>
      <c r="L35" s="349">
        <f t="shared" si="45"/>
        <v>3.3112582781456954</v>
      </c>
      <c r="M35" s="363">
        <v>0</v>
      </c>
      <c r="N35" s="349">
        <f t="shared" si="46"/>
        <v>0</v>
      </c>
      <c r="O35" s="365">
        <v>0</v>
      </c>
      <c r="P35" s="349">
        <f t="shared" si="52"/>
        <v>0</v>
      </c>
      <c r="Q35" s="347">
        <f t="shared" si="48"/>
        <v>1725.6181015452537</v>
      </c>
      <c r="R35" s="351">
        <f t="shared" si="49"/>
        <v>87.196467991169968</v>
      </c>
      <c r="S35" s="347">
        <f t="shared" si="50"/>
        <v>253.38189845474631</v>
      </c>
      <c r="T35" s="351">
        <f t="shared" si="51"/>
        <v>12.803532008830031</v>
      </c>
      <c r="U35" s="355" t="s">
        <v>507</v>
      </c>
      <c r="V35" s="346"/>
    </row>
    <row r="36" spans="1:22" x14ac:dyDescent="0.25">
      <c r="A36" s="542"/>
      <c r="B36" s="346">
        <v>10</v>
      </c>
      <c r="C36" s="368" t="s">
        <v>1007</v>
      </c>
      <c r="D36" s="363">
        <v>3321</v>
      </c>
      <c r="E36" s="363">
        <v>0</v>
      </c>
      <c r="F36" s="349">
        <f t="shared" si="42"/>
        <v>0</v>
      </c>
      <c r="G36" s="369">
        <v>0</v>
      </c>
      <c r="H36" s="349">
        <f t="shared" si="43"/>
        <v>0</v>
      </c>
      <c r="I36" s="365">
        <v>2500.1254705144293</v>
      </c>
      <c r="J36" s="351">
        <f t="shared" si="44"/>
        <v>75.282308657465506</v>
      </c>
      <c r="K36" s="363">
        <v>241.67879548306149</v>
      </c>
      <c r="L36" s="349">
        <f t="shared" si="45"/>
        <v>7.2772898368883308</v>
      </c>
      <c r="M36" s="363">
        <v>0</v>
      </c>
      <c r="N36" s="349">
        <f t="shared" si="46"/>
        <v>0</v>
      </c>
      <c r="O36" s="365">
        <v>0</v>
      </c>
      <c r="P36" s="349">
        <f t="shared" si="52"/>
        <v>0</v>
      </c>
      <c r="Q36" s="347">
        <f t="shared" si="48"/>
        <v>2741.8042659974908</v>
      </c>
      <c r="R36" s="351">
        <f t="shared" si="49"/>
        <v>82.559598494353835</v>
      </c>
      <c r="S36" s="347">
        <f t="shared" si="50"/>
        <v>579.1957340025092</v>
      </c>
      <c r="T36" s="351">
        <f t="shared" si="51"/>
        <v>17.440401505646168</v>
      </c>
      <c r="U36" s="355" t="s">
        <v>507</v>
      </c>
      <c r="V36" s="346"/>
    </row>
    <row r="37" spans="1:22" x14ac:dyDescent="0.25">
      <c r="A37" s="542"/>
      <c r="B37" s="346">
        <v>11</v>
      </c>
      <c r="C37" s="368" t="s">
        <v>1008</v>
      </c>
      <c r="D37" s="363">
        <v>4335</v>
      </c>
      <c r="E37" s="363">
        <v>0</v>
      </c>
      <c r="F37" s="349">
        <f t="shared" si="42"/>
        <v>0</v>
      </c>
      <c r="G37" s="369">
        <v>0</v>
      </c>
      <c r="H37" s="349">
        <f t="shared" si="43"/>
        <v>0</v>
      </c>
      <c r="I37" s="365">
        <v>3695.6803044719313</v>
      </c>
      <c r="J37" s="351">
        <f t="shared" si="44"/>
        <v>85.252140818268316</v>
      </c>
      <c r="K37" s="363">
        <v>41.246431969552802</v>
      </c>
      <c r="L37" s="349">
        <f t="shared" si="45"/>
        <v>0.95147478591817314</v>
      </c>
      <c r="M37" s="363">
        <v>0</v>
      </c>
      <c r="N37" s="349">
        <f t="shared" si="46"/>
        <v>0</v>
      </c>
      <c r="O37" s="365">
        <v>0</v>
      </c>
      <c r="P37" s="349">
        <f t="shared" si="52"/>
        <v>0</v>
      </c>
      <c r="Q37" s="347">
        <f t="shared" si="48"/>
        <v>3736.9267364414841</v>
      </c>
      <c r="R37" s="351">
        <f t="shared" si="49"/>
        <v>86.203615604186481</v>
      </c>
      <c r="S37" s="347">
        <f t="shared" si="50"/>
        <v>598.07326355851592</v>
      </c>
      <c r="T37" s="351">
        <f t="shared" si="51"/>
        <v>13.796384395813515</v>
      </c>
      <c r="U37" s="355" t="s">
        <v>507</v>
      </c>
      <c r="V37" s="346"/>
    </row>
    <row r="38" spans="1:22" s="367" customFormat="1" x14ac:dyDescent="0.25">
      <c r="A38" s="542"/>
      <c r="B38" s="551" t="s">
        <v>23</v>
      </c>
      <c r="C38" s="551"/>
      <c r="D38" s="370">
        <f>SUM(D27:D37)</f>
        <v>31973.8</v>
      </c>
      <c r="E38" s="371">
        <f>SUM(E27:E37)</f>
        <v>8941.901361058397</v>
      </c>
      <c r="F38" s="372">
        <f>SUM(F27:F37)/11</f>
        <v>24.791118921416082</v>
      </c>
      <c r="G38" s="371">
        <f>SUM(G27:G37)</f>
        <v>2686.1243243243243</v>
      </c>
      <c r="H38" s="372">
        <f>SUM(H27:H37)/11</f>
        <v>7.479115479115479</v>
      </c>
      <c r="I38" s="371">
        <f>SUM(I27:I37)</f>
        <v>16624.527853643456</v>
      </c>
      <c r="J38" s="372">
        <f>SUM(J27:J37)/11</f>
        <v>51.374516544074261</v>
      </c>
      <c r="K38" s="371">
        <f t="shared" ref="K38" si="53">SUM(K27:K37)</f>
        <v>1433.9087467052545</v>
      </c>
      <c r="L38" s="372">
        <f t="shared" ref="L38" si="54">SUM(L27:L37)/11</f>
        <v>8.8260875219462047</v>
      </c>
      <c r="M38" s="371">
        <f t="shared" ref="M38" si="55">SUM(M27:M37)</f>
        <v>0</v>
      </c>
      <c r="N38" s="372">
        <f t="shared" ref="N38" si="56">SUM(N27:N37)/11</f>
        <v>0</v>
      </c>
      <c r="O38" s="371">
        <f t="shared" ref="O38" si="57">SUM(O27:O37)</f>
        <v>0</v>
      </c>
      <c r="P38" s="372">
        <f t="shared" ref="P38" si="58">SUM(P27:P37)/11</f>
        <v>0</v>
      </c>
      <c r="Q38" s="371">
        <f t="shared" ref="Q38" si="59">SUM(Q27:Q37)</f>
        <v>29686.462285731439</v>
      </c>
      <c r="R38" s="372">
        <f t="shared" ref="R38" si="60">SUM(R27:R37)/11</f>
        <v>92.470838466552024</v>
      </c>
      <c r="S38" s="371">
        <f t="shared" ref="S38" si="61">SUM(S27:S37)</f>
        <v>2287.3377142685677</v>
      </c>
      <c r="T38" s="372">
        <f t="shared" ref="T38" si="62">SUM(T27:T37)/11</f>
        <v>7.5291615334479731</v>
      </c>
      <c r="U38" s="373"/>
      <c r="V38" s="373"/>
    </row>
    <row r="39" spans="1:22" x14ac:dyDescent="0.25">
      <c r="A39" s="542">
        <v>4</v>
      </c>
      <c r="B39" s="549" t="s">
        <v>1009</v>
      </c>
      <c r="C39" s="549"/>
      <c r="D39" s="359"/>
      <c r="E39" s="359"/>
      <c r="F39" s="360"/>
      <c r="G39" s="359"/>
      <c r="H39" s="360"/>
      <c r="I39" s="359"/>
      <c r="J39" s="360"/>
      <c r="K39" s="359"/>
      <c r="L39" s="360"/>
      <c r="M39" s="359"/>
      <c r="N39" s="360"/>
      <c r="O39" s="359"/>
      <c r="P39" s="360"/>
      <c r="Q39" s="359"/>
      <c r="R39" s="359"/>
      <c r="S39" s="359"/>
      <c r="T39" s="360"/>
      <c r="U39" s="361"/>
      <c r="V39" s="361"/>
    </row>
    <row r="40" spans="1:22" x14ac:dyDescent="0.25">
      <c r="A40" s="542"/>
      <c r="B40" s="374">
        <v>1</v>
      </c>
      <c r="C40" s="375" t="s">
        <v>1010</v>
      </c>
      <c r="D40" s="363">
        <v>2107</v>
      </c>
      <c r="E40" s="363">
        <v>0</v>
      </c>
      <c r="F40" s="349">
        <f t="shared" ref="F40:F44" si="63">(E40*100)/D40</f>
        <v>0</v>
      </c>
      <c r="G40" s="369">
        <v>1041.0325443786983</v>
      </c>
      <c r="H40" s="351">
        <f t="shared" ref="H40:H44" si="64">(G40*100)/D40</f>
        <v>49.408284023668642</v>
      </c>
      <c r="I40" s="365">
        <v>183.8949704142012</v>
      </c>
      <c r="J40" s="351">
        <f t="shared" ref="J40:J44" si="65">(I40*100)/D40</f>
        <v>8.7278106508875748</v>
      </c>
      <c r="K40" s="363">
        <v>324.15384615384619</v>
      </c>
      <c r="L40" s="351">
        <f t="shared" ref="L40:L44" si="66">(K40*100)/D40</f>
        <v>15.384615384615385</v>
      </c>
      <c r="M40" s="363">
        <v>0</v>
      </c>
      <c r="N40" s="349">
        <f>(M40*100)/D40</f>
        <v>0</v>
      </c>
      <c r="O40" s="365">
        <v>81.038461538461547</v>
      </c>
      <c r="P40" s="351">
        <f t="shared" ref="P40:P44" si="67">(O40*100)/D40</f>
        <v>3.8461538461538463</v>
      </c>
      <c r="Q40" s="347">
        <f t="shared" ref="Q40:Q44" si="68">O40+M40+K40+I40+G40+E40</f>
        <v>1630.1198224852074</v>
      </c>
      <c r="R40" s="351">
        <f t="shared" ref="R40:R44" si="69">(Q40*100)/D40</f>
        <v>77.366863905325459</v>
      </c>
      <c r="S40" s="347">
        <f t="shared" ref="S40:S44" si="70">D40-Q40</f>
        <v>476.88017751479265</v>
      </c>
      <c r="T40" s="351">
        <f t="shared" ref="T40:T44" si="71">(S40*100)/D40</f>
        <v>22.633136094674544</v>
      </c>
      <c r="U40" s="355" t="s">
        <v>507</v>
      </c>
      <c r="V40" s="346"/>
    </row>
    <row r="41" spans="1:22" x14ac:dyDescent="0.25">
      <c r="A41" s="542"/>
      <c r="B41" s="374">
        <v>2</v>
      </c>
      <c r="C41" s="375" t="s">
        <v>1009</v>
      </c>
      <c r="D41" s="363">
        <v>3350</v>
      </c>
      <c r="E41" s="363">
        <v>0</v>
      </c>
      <c r="F41" s="349">
        <f t="shared" si="63"/>
        <v>0</v>
      </c>
      <c r="G41" s="369">
        <v>1661.2422997946612</v>
      </c>
      <c r="H41" s="351">
        <f t="shared" si="64"/>
        <v>49.589322381930188</v>
      </c>
      <c r="I41" s="365">
        <v>82.546201232032857</v>
      </c>
      <c r="J41" s="351">
        <f t="shared" si="65"/>
        <v>2.4640657084188913</v>
      </c>
      <c r="K41" s="363">
        <v>165.09240246406571</v>
      </c>
      <c r="L41" s="351">
        <f t="shared" si="66"/>
        <v>4.9281314168377826</v>
      </c>
      <c r="M41" s="363">
        <v>0</v>
      </c>
      <c r="N41" s="349">
        <f t="shared" ref="N41:N44" si="72">(M41*100)/D41</f>
        <v>0</v>
      </c>
      <c r="O41" s="365">
        <v>110.06160164271047</v>
      </c>
      <c r="P41" s="351">
        <f t="shared" si="67"/>
        <v>3.2854209445585214</v>
      </c>
      <c r="Q41" s="347">
        <f t="shared" si="68"/>
        <v>2018.9425051334701</v>
      </c>
      <c r="R41" s="351">
        <f t="shared" si="69"/>
        <v>60.266940451745377</v>
      </c>
      <c r="S41" s="347">
        <f t="shared" si="70"/>
        <v>1331.0574948665299</v>
      </c>
      <c r="T41" s="351">
        <f t="shared" si="71"/>
        <v>39.733059548254623</v>
      </c>
      <c r="U41" s="355" t="s">
        <v>507</v>
      </c>
      <c r="V41" s="346"/>
    </row>
    <row r="42" spans="1:22" x14ac:dyDescent="0.25">
      <c r="A42" s="542"/>
      <c r="B42" s="374">
        <v>3</v>
      </c>
      <c r="C42" s="375" t="s">
        <v>1011</v>
      </c>
      <c r="D42" s="363">
        <v>1553</v>
      </c>
      <c r="E42" s="363">
        <v>0</v>
      </c>
      <c r="F42" s="349">
        <f t="shared" si="63"/>
        <v>0</v>
      </c>
      <c r="G42" s="369">
        <v>1100.9280821917807</v>
      </c>
      <c r="H42" s="351">
        <f t="shared" si="64"/>
        <v>70.890410958904098</v>
      </c>
      <c r="I42" s="365">
        <v>55.844178082191782</v>
      </c>
      <c r="J42" s="351">
        <f t="shared" si="65"/>
        <v>3.5958904109589045</v>
      </c>
      <c r="K42" s="363">
        <v>15.955479452054794</v>
      </c>
      <c r="L42" s="351">
        <f t="shared" si="66"/>
        <v>1.0273972602739725</v>
      </c>
      <c r="M42" s="363">
        <v>0</v>
      </c>
      <c r="N42" s="349">
        <f t="shared" si="72"/>
        <v>0</v>
      </c>
      <c r="O42" s="365">
        <v>45.207191780821915</v>
      </c>
      <c r="P42" s="351">
        <f t="shared" si="67"/>
        <v>2.9109589041095889</v>
      </c>
      <c r="Q42" s="347">
        <f t="shared" si="68"/>
        <v>1217.9349315068491</v>
      </c>
      <c r="R42" s="351">
        <f t="shared" si="69"/>
        <v>78.424657534246563</v>
      </c>
      <c r="S42" s="347">
        <f t="shared" si="70"/>
        <v>335.06506849315087</v>
      </c>
      <c r="T42" s="351">
        <f t="shared" si="71"/>
        <v>21.57534246575344</v>
      </c>
      <c r="U42" s="355" t="s">
        <v>507</v>
      </c>
      <c r="V42" s="346"/>
    </row>
    <row r="43" spans="1:22" x14ac:dyDescent="0.25">
      <c r="A43" s="542"/>
      <c r="B43" s="374">
        <v>4</v>
      </c>
      <c r="C43" s="375" t="s">
        <v>1012</v>
      </c>
      <c r="D43" s="363">
        <v>3180</v>
      </c>
      <c r="E43" s="363">
        <v>0</v>
      </c>
      <c r="F43" s="349">
        <f t="shared" si="63"/>
        <v>0</v>
      </c>
      <c r="G43" s="369">
        <v>2003.741935483871</v>
      </c>
      <c r="H43" s="351">
        <f t="shared" si="64"/>
        <v>63.01075268817204</v>
      </c>
      <c r="I43" s="365">
        <v>102.58064516129032</v>
      </c>
      <c r="J43" s="351">
        <f t="shared" si="65"/>
        <v>3.225806451612903</v>
      </c>
      <c r="K43" s="363">
        <v>44.451612903225808</v>
      </c>
      <c r="L43" s="351">
        <f t="shared" si="66"/>
        <v>1.3978494623655913</v>
      </c>
      <c r="M43" s="363">
        <v>0</v>
      </c>
      <c r="N43" s="349">
        <f t="shared" si="72"/>
        <v>0</v>
      </c>
      <c r="O43" s="365">
        <v>99.161290322580641</v>
      </c>
      <c r="P43" s="351">
        <f t="shared" si="67"/>
        <v>3.118279569892473</v>
      </c>
      <c r="Q43" s="347">
        <f t="shared" si="68"/>
        <v>2249.9354838709678</v>
      </c>
      <c r="R43" s="351">
        <f t="shared" si="69"/>
        <v>70.752688172043008</v>
      </c>
      <c r="S43" s="347">
        <f t="shared" si="70"/>
        <v>930.0645161290322</v>
      </c>
      <c r="T43" s="351">
        <f t="shared" si="71"/>
        <v>29.247311827956985</v>
      </c>
      <c r="U43" s="355" t="s">
        <v>507</v>
      </c>
      <c r="V43" s="346"/>
    </row>
    <row r="44" spans="1:22" x14ac:dyDescent="0.25">
      <c r="A44" s="542"/>
      <c r="B44" s="374">
        <v>5</v>
      </c>
      <c r="C44" s="375" t="s">
        <v>1013</v>
      </c>
      <c r="D44" s="363">
        <v>1475</v>
      </c>
      <c r="E44" s="363">
        <v>0</v>
      </c>
      <c r="F44" s="349">
        <f t="shared" si="63"/>
        <v>0</v>
      </c>
      <c r="G44" s="369">
        <v>1003.5097192224622</v>
      </c>
      <c r="H44" s="351">
        <f t="shared" si="64"/>
        <v>68.034557235421161</v>
      </c>
      <c r="I44" s="365">
        <v>60.529157667386606</v>
      </c>
      <c r="J44" s="351">
        <f t="shared" si="65"/>
        <v>4.1036717062634986</v>
      </c>
      <c r="K44" s="363">
        <v>35.043196544276455</v>
      </c>
      <c r="L44" s="351">
        <f t="shared" si="66"/>
        <v>2.3758099352051834</v>
      </c>
      <c r="M44" s="363">
        <v>0</v>
      </c>
      <c r="N44" s="349">
        <f t="shared" si="72"/>
        <v>0</v>
      </c>
      <c r="O44" s="365">
        <v>66.900647948164149</v>
      </c>
      <c r="P44" s="351">
        <f t="shared" si="67"/>
        <v>4.5356371490280782</v>
      </c>
      <c r="Q44" s="347">
        <f t="shared" si="68"/>
        <v>1165.9827213822894</v>
      </c>
      <c r="R44" s="351">
        <f t="shared" si="69"/>
        <v>79.049676025917918</v>
      </c>
      <c r="S44" s="347">
        <f t="shared" si="70"/>
        <v>309.01727861771064</v>
      </c>
      <c r="T44" s="351">
        <f t="shared" si="71"/>
        <v>20.950323974082078</v>
      </c>
      <c r="U44" s="355" t="s">
        <v>507</v>
      </c>
      <c r="V44" s="346"/>
    </row>
    <row r="45" spans="1:22" s="367" customFormat="1" x14ac:dyDescent="0.25">
      <c r="A45" s="542"/>
      <c r="B45" s="545" t="s">
        <v>23</v>
      </c>
      <c r="C45" s="545"/>
      <c r="D45" s="370">
        <f>SUM(D40:D44)</f>
        <v>11665</v>
      </c>
      <c r="E45" s="371">
        <f>SUM(E40:E44)</f>
        <v>0</v>
      </c>
      <c r="F45" s="372">
        <f>SUM(F40:F44)/5</f>
        <v>0</v>
      </c>
      <c r="G45" s="371">
        <f t="shared" ref="G45" si="73">SUM(G40:G44)</f>
        <v>6810.4545810714735</v>
      </c>
      <c r="H45" s="372">
        <f t="shared" ref="H45" si="74">SUM(H40:H44)/5</f>
        <v>60.18666545761922</v>
      </c>
      <c r="I45" s="371">
        <f t="shared" ref="I45" si="75">SUM(I40:I44)</f>
        <v>485.39515255710273</v>
      </c>
      <c r="J45" s="372">
        <f t="shared" ref="J45" si="76">SUM(J40:J44)/5</f>
        <v>4.4234489856283545</v>
      </c>
      <c r="K45" s="371">
        <f t="shared" ref="K45" si="77">SUM(K40:K44)</f>
        <v>584.69653751746898</v>
      </c>
      <c r="L45" s="372">
        <f t="shared" ref="L45" si="78">SUM(L40:L44)/5</f>
        <v>5.0227606918595828</v>
      </c>
      <c r="M45" s="371">
        <f t="shared" ref="M45" si="79">SUM(M40:M44)</f>
        <v>0</v>
      </c>
      <c r="N45" s="372">
        <f t="shared" ref="N45" si="80">SUM(N40:N44)/5</f>
        <v>0</v>
      </c>
      <c r="O45" s="371">
        <f t="shared" ref="O45" si="81">SUM(O40:O44)</f>
        <v>402.36919323273872</v>
      </c>
      <c r="P45" s="372">
        <f t="shared" ref="P45" si="82">SUM(P40:P44)/5</f>
        <v>3.5392900827485008</v>
      </c>
      <c r="Q45" s="371">
        <f t="shared" ref="Q45" si="83">SUM(Q40:Q44)</f>
        <v>8282.9154643787842</v>
      </c>
      <c r="R45" s="372">
        <f t="shared" ref="R45" si="84">SUM(R40:R44)/5</f>
        <v>73.172165217855664</v>
      </c>
      <c r="S45" s="371">
        <f t="shared" ref="S45" si="85">SUM(S40:S44)</f>
        <v>3382.0845356212167</v>
      </c>
      <c r="T45" s="372">
        <f t="shared" ref="T45" si="86">SUM(T40:T44)/5</f>
        <v>26.827834782144333</v>
      </c>
      <c r="U45" s="376"/>
      <c r="V45" s="376"/>
    </row>
    <row r="46" spans="1:22" x14ac:dyDescent="0.25">
      <c r="A46" s="542">
        <v>5</v>
      </c>
      <c r="B46" s="549" t="s">
        <v>1014</v>
      </c>
      <c r="C46" s="549"/>
      <c r="D46" s="359"/>
      <c r="E46" s="359"/>
      <c r="F46" s="360"/>
      <c r="G46" s="359"/>
      <c r="H46" s="360"/>
      <c r="I46" s="359"/>
      <c r="J46" s="360"/>
      <c r="K46" s="359"/>
      <c r="L46" s="360"/>
      <c r="M46" s="359"/>
      <c r="N46" s="360"/>
      <c r="O46" s="359"/>
      <c r="P46" s="360"/>
      <c r="Q46" s="359"/>
      <c r="R46" s="359"/>
      <c r="S46" s="359"/>
      <c r="T46" s="360"/>
      <c r="U46" s="361"/>
      <c r="V46" s="361"/>
    </row>
    <row r="47" spans="1:22" x14ac:dyDescent="0.25">
      <c r="A47" s="542"/>
      <c r="B47" s="377">
        <v>1</v>
      </c>
      <c r="C47" s="378" t="s">
        <v>1015</v>
      </c>
      <c r="D47" s="363">
        <v>1856</v>
      </c>
      <c r="E47" s="363">
        <v>0</v>
      </c>
      <c r="F47" s="349">
        <f t="shared" ref="F47:F50" si="87">(E47*100)/D47</f>
        <v>0</v>
      </c>
      <c r="G47" s="369">
        <v>0</v>
      </c>
      <c r="H47" s="351">
        <f t="shared" ref="H47:H50" si="88">(G47*100)/D47</f>
        <v>0</v>
      </c>
      <c r="I47" s="365">
        <v>786.15101289134441</v>
      </c>
      <c r="J47" s="351">
        <f t="shared" ref="J47:J50" si="89">(I47*100)/D47</f>
        <v>42.357274401473298</v>
      </c>
      <c r="K47" s="363">
        <v>0</v>
      </c>
      <c r="L47" s="351">
        <f t="shared" ref="L47:L50" si="90">(K47*100)/D47</f>
        <v>0</v>
      </c>
      <c r="M47" s="363">
        <v>0</v>
      </c>
      <c r="N47" s="349">
        <f>(M47*100)/D47</f>
        <v>0</v>
      </c>
      <c r="O47" s="365">
        <v>51.270718232044203</v>
      </c>
      <c r="P47" s="351">
        <f t="shared" ref="P47:P50" si="91">(O47*100)/D47</f>
        <v>2.7624309392265194</v>
      </c>
      <c r="Q47" s="347">
        <f t="shared" ref="Q47:Q50" si="92">O47+M47+K47+I47+G47+E47</f>
        <v>837.42173112338855</v>
      </c>
      <c r="R47" s="351">
        <f t="shared" ref="R47:R50" si="93">(Q47*100)/D47</f>
        <v>45.119705340699817</v>
      </c>
      <c r="S47" s="347">
        <f t="shared" ref="S47:S50" si="94">D47-Q47</f>
        <v>1018.5782688766114</v>
      </c>
      <c r="T47" s="351">
        <f t="shared" ref="T47:T50" si="95">(S47*100)/D47</f>
        <v>54.880294659300183</v>
      </c>
      <c r="U47" s="355" t="s">
        <v>507</v>
      </c>
      <c r="V47" s="346"/>
    </row>
    <row r="48" spans="1:22" x14ac:dyDescent="0.25">
      <c r="A48" s="542"/>
      <c r="B48" s="377">
        <v>2</v>
      </c>
      <c r="C48" s="378" t="s">
        <v>1014</v>
      </c>
      <c r="D48" s="363">
        <v>4660</v>
      </c>
      <c r="E48" s="363">
        <v>215.37815126050418</v>
      </c>
      <c r="F48" s="349">
        <f t="shared" si="87"/>
        <v>4.6218487394957979</v>
      </c>
      <c r="G48" s="369">
        <v>0</v>
      </c>
      <c r="H48" s="351">
        <f t="shared" si="88"/>
        <v>0</v>
      </c>
      <c r="I48" s="365">
        <v>2635.4453781512602</v>
      </c>
      <c r="J48" s="351">
        <f t="shared" si="89"/>
        <v>56.554621848739487</v>
      </c>
      <c r="K48" s="363">
        <v>11.747899159663865</v>
      </c>
      <c r="L48" s="351">
        <f t="shared" si="90"/>
        <v>0.25210084033613439</v>
      </c>
      <c r="M48" s="363">
        <v>0</v>
      </c>
      <c r="N48" s="349">
        <f t="shared" ref="N48:N50" si="96">(M48*100)/D48</f>
        <v>0</v>
      </c>
      <c r="O48" s="365">
        <v>0</v>
      </c>
      <c r="P48" s="351">
        <f t="shared" si="91"/>
        <v>0</v>
      </c>
      <c r="Q48" s="347">
        <f t="shared" si="92"/>
        <v>2862.5714285714284</v>
      </c>
      <c r="R48" s="351">
        <f t="shared" si="93"/>
        <v>61.428571428571423</v>
      </c>
      <c r="S48" s="347">
        <f t="shared" si="94"/>
        <v>1797.4285714285716</v>
      </c>
      <c r="T48" s="351">
        <f t="shared" si="95"/>
        <v>38.571428571428577</v>
      </c>
      <c r="U48" s="355" t="s">
        <v>507</v>
      </c>
      <c r="V48" s="346"/>
    </row>
    <row r="49" spans="1:22" x14ac:dyDescent="0.25">
      <c r="A49" s="542"/>
      <c r="B49" s="377">
        <v>3</v>
      </c>
      <c r="C49" s="378" t="s">
        <v>1016</v>
      </c>
      <c r="D49" s="363">
        <v>2010</v>
      </c>
      <c r="E49" s="363">
        <v>0</v>
      </c>
      <c r="F49" s="349">
        <f t="shared" si="87"/>
        <v>0</v>
      </c>
      <c r="G49" s="369">
        <v>249.17355371900825</v>
      </c>
      <c r="H49" s="351">
        <f t="shared" si="88"/>
        <v>12.396694214876034</v>
      </c>
      <c r="I49" s="365">
        <v>1033.2396694214876</v>
      </c>
      <c r="J49" s="351">
        <f t="shared" si="89"/>
        <v>51.404958677685954</v>
      </c>
      <c r="K49" s="363">
        <v>0</v>
      </c>
      <c r="L49" s="351">
        <f t="shared" si="90"/>
        <v>0</v>
      </c>
      <c r="M49" s="363">
        <v>0</v>
      </c>
      <c r="N49" s="349">
        <f t="shared" si="96"/>
        <v>0</v>
      </c>
      <c r="O49" s="365">
        <v>0</v>
      </c>
      <c r="P49" s="351">
        <f t="shared" si="91"/>
        <v>0</v>
      </c>
      <c r="Q49" s="347">
        <f t="shared" si="92"/>
        <v>1282.4132231404958</v>
      </c>
      <c r="R49" s="351">
        <f t="shared" si="93"/>
        <v>63.801652892561982</v>
      </c>
      <c r="S49" s="347">
        <f t="shared" si="94"/>
        <v>727.5867768595042</v>
      </c>
      <c r="T49" s="351">
        <f t="shared" si="95"/>
        <v>36.198347107438018</v>
      </c>
      <c r="U49" s="355" t="s">
        <v>507</v>
      </c>
      <c r="V49" s="346"/>
    </row>
    <row r="50" spans="1:22" x14ac:dyDescent="0.25">
      <c r="A50" s="542"/>
      <c r="B50" s="377">
        <v>4</v>
      </c>
      <c r="C50" s="378" t="s">
        <v>1017</v>
      </c>
      <c r="D50" s="363">
        <v>2564</v>
      </c>
      <c r="E50" s="363">
        <v>0</v>
      </c>
      <c r="F50" s="349">
        <f t="shared" si="87"/>
        <v>0</v>
      </c>
      <c r="G50" s="369">
        <v>0</v>
      </c>
      <c r="H50" s="351">
        <f t="shared" si="88"/>
        <v>0</v>
      </c>
      <c r="I50" s="365">
        <v>2211.8773333333334</v>
      </c>
      <c r="J50" s="351">
        <f t="shared" si="89"/>
        <v>86.266666666666666</v>
      </c>
      <c r="K50" s="363">
        <v>0</v>
      </c>
      <c r="L50" s="351">
        <f t="shared" si="90"/>
        <v>0</v>
      </c>
      <c r="M50" s="363">
        <v>0</v>
      </c>
      <c r="N50" s="349">
        <f t="shared" si="96"/>
        <v>0</v>
      </c>
      <c r="O50" s="365">
        <v>0</v>
      </c>
      <c r="P50" s="351">
        <f t="shared" si="91"/>
        <v>0</v>
      </c>
      <c r="Q50" s="347">
        <f t="shared" si="92"/>
        <v>2211.8773333333334</v>
      </c>
      <c r="R50" s="351">
        <f t="shared" si="93"/>
        <v>86.266666666666666</v>
      </c>
      <c r="S50" s="347">
        <f t="shared" si="94"/>
        <v>352.12266666666665</v>
      </c>
      <c r="T50" s="351">
        <f t="shared" si="95"/>
        <v>13.733333333333333</v>
      </c>
      <c r="U50" s="355" t="s">
        <v>507</v>
      </c>
      <c r="V50" s="346"/>
    </row>
    <row r="51" spans="1:22" s="367" customFormat="1" x14ac:dyDescent="0.25">
      <c r="A51" s="542"/>
      <c r="B51" s="545" t="s">
        <v>23</v>
      </c>
      <c r="C51" s="545"/>
      <c r="D51" s="379">
        <f>SUM(D45:D50)</f>
        <v>22755</v>
      </c>
      <c r="E51" s="371">
        <f>SUM(E47:E50)</f>
        <v>215.37815126050418</v>
      </c>
      <c r="F51" s="372">
        <f>SUM(F47:F50)/4</f>
        <v>1.1554621848739495</v>
      </c>
      <c r="G51" s="371">
        <f t="shared" ref="G51" si="97">SUM(G47:G50)</f>
        <v>249.17355371900825</v>
      </c>
      <c r="H51" s="372">
        <f t="shared" ref="H51" si="98">SUM(H47:H50)/4</f>
        <v>3.0991735537190084</v>
      </c>
      <c r="I51" s="371">
        <f t="shared" ref="I51" si="99">SUM(I47:I50)</f>
        <v>6666.7133937974249</v>
      </c>
      <c r="J51" s="372">
        <f t="shared" ref="J51" si="100">SUM(J47:J50)/4</f>
        <v>59.145880398641353</v>
      </c>
      <c r="K51" s="371">
        <f t="shared" ref="K51" si="101">SUM(K47:K50)</f>
        <v>11.747899159663865</v>
      </c>
      <c r="L51" s="372">
        <f t="shared" ref="L51" si="102">SUM(L47:L50)/4</f>
        <v>6.3025210084033598E-2</v>
      </c>
      <c r="M51" s="371">
        <f t="shared" ref="M51" si="103">SUM(M47:M50)</f>
        <v>0</v>
      </c>
      <c r="N51" s="372">
        <f t="shared" ref="N51" si="104">SUM(N47:N50)/4</f>
        <v>0</v>
      </c>
      <c r="O51" s="371">
        <f t="shared" ref="O51" si="105">SUM(O47:O50)</f>
        <v>51.270718232044203</v>
      </c>
      <c r="P51" s="372">
        <f t="shared" ref="P51" si="106">SUM(P47:P50)/4</f>
        <v>0.69060773480662985</v>
      </c>
      <c r="Q51" s="371">
        <f t="shared" ref="Q51" si="107">SUM(Q47:Q50)</f>
        <v>7194.2837161686457</v>
      </c>
      <c r="R51" s="372">
        <f t="shared" ref="R51" si="108">SUM(R47:R50)/4</f>
        <v>64.154149082124974</v>
      </c>
      <c r="S51" s="371">
        <f t="shared" ref="S51" si="109">SUM(S47:S50)</f>
        <v>3895.7162838313538</v>
      </c>
      <c r="T51" s="372">
        <f t="shared" ref="T51" si="110">SUM(T47:T50)/4</f>
        <v>35.845850917875026</v>
      </c>
      <c r="U51" s="373"/>
      <c r="V51" s="373"/>
    </row>
    <row r="52" spans="1:22" x14ac:dyDescent="0.25">
      <c r="A52" s="542">
        <v>6</v>
      </c>
      <c r="B52" s="549" t="s">
        <v>1018</v>
      </c>
      <c r="C52" s="549"/>
      <c r="D52" s="359"/>
      <c r="E52" s="359"/>
      <c r="F52" s="360"/>
      <c r="G52" s="359"/>
      <c r="H52" s="360"/>
      <c r="I52" s="359"/>
      <c r="J52" s="360"/>
      <c r="K52" s="359"/>
      <c r="L52" s="360"/>
      <c r="M52" s="359"/>
      <c r="N52" s="360"/>
      <c r="O52" s="359"/>
      <c r="P52" s="360"/>
      <c r="Q52" s="359"/>
      <c r="R52" s="359"/>
      <c r="S52" s="359"/>
      <c r="T52" s="360"/>
      <c r="U52" s="361"/>
      <c r="V52" s="361"/>
    </row>
    <row r="53" spans="1:22" x14ac:dyDescent="0.25">
      <c r="A53" s="542"/>
      <c r="B53" s="380">
        <v>1</v>
      </c>
      <c r="C53" s="381" t="s">
        <v>1019</v>
      </c>
      <c r="D53" s="363">
        <v>4177</v>
      </c>
      <c r="E53" s="363">
        <v>957.11390728476829</v>
      </c>
      <c r="F53" s="349">
        <f t="shared" ref="F53:F56" si="111">(E53*100)/D53</f>
        <v>22.913907284768214</v>
      </c>
      <c r="G53" s="369">
        <v>0</v>
      </c>
      <c r="H53" s="351">
        <f t="shared" ref="H53:H56" si="112">(G53*100)/D53</f>
        <v>0</v>
      </c>
      <c r="I53" s="365">
        <v>838.16622516556299</v>
      </c>
      <c r="J53" s="351">
        <f t="shared" ref="J53:J56" si="113">(I53*100)/D53</f>
        <v>20.066225165562916</v>
      </c>
      <c r="K53" s="363">
        <v>1006.9059602649007</v>
      </c>
      <c r="L53" s="351">
        <f t="shared" ref="L53:L56" si="114">(K53*100)/D53</f>
        <v>24.105960264900666</v>
      </c>
      <c r="M53" s="363">
        <v>0</v>
      </c>
      <c r="N53" s="349">
        <f>(M53*100)/D53</f>
        <v>0</v>
      </c>
      <c r="O53" s="365">
        <v>0</v>
      </c>
      <c r="P53" s="351">
        <f t="shared" ref="P53:P56" si="115">(O53*100)/D53</f>
        <v>0</v>
      </c>
      <c r="Q53" s="347">
        <f t="shared" ref="Q53:Q56" si="116">O53+M53+K53+I53+G53+E53</f>
        <v>2802.186092715232</v>
      </c>
      <c r="R53" s="354">
        <f t="shared" ref="R53:R56" si="117">(Q53*100)/D53</f>
        <v>67.086092715231786</v>
      </c>
      <c r="S53" s="347">
        <f t="shared" ref="S53:S56" si="118">D53-Q53</f>
        <v>1374.813907284768</v>
      </c>
      <c r="T53" s="351">
        <f t="shared" ref="T53:T56" si="119">(S53*100)/D53</f>
        <v>32.913907284768207</v>
      </c>
      <c r="U53" s="355" t="s">
        <v>507</v>
      </c>
      <c r="V53" s="346"/>
    </row>
    <row r="54" spans="1:22" x14ac:dyDescent="0.25">
      <c r="A54" s="542"/>
      <c r="B54" s="380">
        <v>2</v>
      </c>
      <c r="C54" s="381" t="s">
        <v>1020</v>
      </c>
      <c r="D54" s="363">
        <v>2639</v>
      </c>
      <c r="E54" s="363">
        <v>0</v>
      </c>
      <c r="F54" s="349">
        <f t="shared" si="111"/>
        <v>0</v>
      </c>
      <c r="G54" s="369">
        <v>224.4047619047619</v>
      </c>
      <c r="H54" s="351">
        <f t="shared" si="112"/>
        <v>8.5034013605442187</v>
      </c>
      <c r="I54" s="365">
        <v>637.30952380952385</v>
      </c>
      <c r="J54" s="351">
        <f t="shared" si="113"/>
        <v>24.14965986394558</v>
      </c>
      <c r="K54" s="363">
        <v>1107.063492063492</v>
      </c>
      <c r="L54" s="351">
        <f t="shared" si="114"/>
        <v>41.950113378684804</v>
      </c>
      <c r="M54" s="363">
        <v>0</v>
      </c>
      <c r="N54" s="349">
        <f t="shared" ref="N54:N56" si="120">(M54*100)/D54</f>
        <v>0</v>
      </c>
      <c r="O54" s="365">
        <v>0</v>
      </c>
      <c r="P54" s="351">
        <f t="shared" si="115"/>
        <v>0</v>
      </c>
      <c r="Q54" s="347">
        <f t="shared" si="116"/>
        <v>1968.7777777777778</v>
      </c>
      <c r="R54" s="354">
        <f t="shared" si="117"/>
        <v>74.603174603174608</v>
      </c>
      <c r="S54" s="347">
        <f t="shared" si="118"/>
        <v>670.22222222222217</v>
      </c>
      <c r="T54" s="351">
        <f t="shared" si="119"/>
        <v>25.396825396825395</v>
      </c>
      <c r="U54" s="355" t="s">
        <v>507</v>
      </c>
      <c r="V54" s="346"/>
    </row>
    <row r="55" spans="1:22" x14ac:dyDescent="0.25">
      <c r="A55" s="542"/>
      <c r="B55" s="380">
        <v>3</v>
      </c>
      <c r="C55" s="381" t="s">
        <v>1021</v>
      </c>
      <c r="D55" s="363">
        <v>4629</v>
      </c>
      <c r="E55" s="363">
        <v>0</v>
      </c>
      <c r="F55" s="349">
        <f t="shared" si="111"/>
        <v>0</v>
      </c>
      <c r="G55" s="369">
        <v>1860.0676829268293</v>
      </c>
      <c r="H55" s="351">
        <f t="shared" si="112"/>
        <v>40.182926829268297</v>
      </c>
      <c r="I55" s="365">
        <v>742.33353658536589</v>
      </c>
      <c r="J55" s="351">
        <f t="shared" si="113"/>
        <v>16.036585365853661</v>
      </c>
      <c r="K55" s="363">
        <v>530.64146341463413</v>
      </c>
      <c r="L55" s="351">
        <f t="shared" si="114"/>
        <v>11.463414634146341</v>
      </c>
      <c r="M55" s="363">
        <v>0</v>
      </c>
      <c r="N55" s="349">
        <f t="shared" si="120"/>
        <v>0</v>
      </c>
      <c r="O55" s="365">
        <v>0</v>
      </c>
      <c r="P55" s="351">
        <f t="shared" si="115"/>
        <v>0</v>
      </c>
      <c r="Q55" s="347">
        <f t="shared" si="116"/>
        <v>3133.042682926829</v>
      </c>
      <c r="R55" s="354">
        <f t="shared" si="117"/>
        <v>67.682926829268283</v>
      </c>
      <c r="S55" s="347">
        <f t="shared" si="118"/>
        <v>1495.957317073171</v>
      </c>
      <c r="T55" s="351">
        <f t="shared" si="119"/>
        <v>32.317073170731717</v>
      </c>
      <c r="U55" s="355" t="s">
        <v>507</v>
      </c>
      <c r="V55" s="346"/>
    </row>
    <row r="56" spans="1:22" x14ac:dyDescent="0.25">
      <c r="A56" s="542"/>
      <c r="B56" s="380">
        <v>4</v>
      </c>
      <c r="C56" s="381" t="s">
        <v>1018</v>
      </c>
      <c r="D56" s="363">
        <v>6236</v>
      </c>
      <c r="E56" s="363">
        <v>375.57304710793085</v>
      </c>
      <c r="F56" s="349">
        <f t="shared" si="111"/>
        <v>6.0226595110316046</v>
      </c>
      <c r="G56" s="369">
        <v>680.49373881932024</v>
      </c>
      <c r="H56" s="351">
        <f t="shared" si="112"/>
        <v>10.912343470483007</v>
      </c>
      <c r="I56" s="365">
        <v>2260.875372689326</v>
      </c>
      <c r="J56" s="351">
        <f t="shared" si="113"/>
        <v>36.255217650566486</v>
      </c>
      <c r="K56" s="363">
        <v>1561.7889087656529</v>
      </c>
      <c r="L56" s="351">
        <f t="shared" si="114"/>
        <v>25.044722719141319</v>
      </c>
      <c r="M56" s="363">
        <v>0</v>
      </c>
      <c r="N56" s="349">
        <f t="shared" si="120"/>
        <v>0</v>
      </c>
      <c r="O56" s="365">
        <v>0</v>
      </c>
      <c r="P56" s="351">
        <f t="shared" si="115"/>
        <v>0</v>
      </c>
      <c r="Q56" s="347">
        <f t="shared" si="116"/>
        <v>4878.7310673822294</v>
      </c>
      <c r="R56" s="354">
        <f t="shared" si="117"/>
        <v>78.234943351222412</v>
      </c>
      <c r="S56" s="347">
        <f t="shared" si="118"/>
        <v>1357.2689326177706</v>
      </c>
      <c r="T56" s="351">
        <f t="shared" si="119"/>
        <v>21.765056648777591</v>
      </c>
      <c r="U56" s="355" t="s">
        <v>507</v>
      </c>
      <c r="V56" s="346"/>
    </row>
    <row r="57" spans="1:22" s="367" customFormat="1" ht="15.75" customHeight="1" x14ac:dyDescent="0.25">
      <c r="A57" s="542"/>
      <c r="B57" s="545" t="s">
        <v>23</v>
      </c>
      <c r="C57" s="545"/>
      <c r="D57" s="379">
        <f>SUM(D53:D56)</f>
        <v>17681</v>
      </c>
      <c r="E57" s="371">
        <f>SUM(E53:E56)</f>
        <v>1332.6869543926991</v>
      </c>
      <c r="F57" s="372">
        <f>SUM(F53:F56)/4</f>
        <v>7.234141698949955</v>
      </c>
      <c r="G57" s="371">
        <f t="shared" ref="G57" si="121">SUM(G53:G56)</f>
        <v>2764.9661836509113</v>
      </c>
      <c r="H57" s="372">
        <f t="shared" ref="H57" si="122">SUM(H53:H56)/4</f>
        <v>14.899667915073881</v>
      </c>
      <c r="I57" s="371">
        <f t="shared" ref="I57" si="123">SUM(I53:I56)</f>
        <v>4478.6846582497783</v>
      </c>
      <c r="J57" s="372">
        <f t="shared" ref="J57" si="124">SUM(J53:J56)/4</f>
        <v>24.126922011482161</v>
      </c>
      <c r="K57" s="371">
        <f t="shared" ref="K57" si="125">SUM(K53:K56)</f>
        <v>4206.3998245086796</v>
      </c>
      <c r="L57" s="372">
        <f t="shared" ref="L57" si="126">SUM(L53:L56)/4</f>
        <v>25.641052749218286</v>
      </c>
      <c r="M57" s="371">
        <f t="shared" ref="M57" si="127">SUM(M53:M56)</f>
        <v>0</v>
      </c>
      <c r="N57" s="372">
        <f t="shared" ref="N57" si="128">SUM(N53:N56)/4</f>
        <v>0</v>
      </c>
      <c r="O57" s="371">
        <f t="shared" ref="O57" si="129">SUM(O53:O56)</f>
        <v>0</v>
      </c>
      <c r="P57" s="372">
        <f t="shared" ref="P57" si="130">SUM(P53:P56)/4</f>
        <v>0</v>
      </c>
      <c r="Q57" s="371">
        <f t="shared" ref="Q57" si="131">SUM(Q53:Q56)</f>
        <v>12782.737620802069</v>
      </c>
      <c r="R57" s="372">
        <f t="shared" ref="R57" si="132">SUM(R53:R56)/4</f>
        <v>71.901784374724272</v>
      </c>
      <c r="S57" s="371">
        <f t="shared" ref="S57" si="133">SUM(S53:S56)</f>
        <v>4898.2623791979313</v>
      </c>
      <c r="T57" s="372">
        <f t="shared" ref="T57" si="134">SUM(T53:T56)/4</f>
        <v>28.098215625275728</v>
      </c>
      <c r="U57" s="379"/>
      <c r="V57" s="376"/>
    </row>
    <row r="58" spans="1:22" x14ac:dyDescent="0.25">
      <c r="A58" s="542">
        <v>7</v>
      </c>
      <c r="B58" s="549" t="s">
        <v>1022</v>
      </c>
      <c r="C58" s="549"/>
      <c r="D58" s="359"/>
      <c r="E58" s="359"/>
      <c r="F58" s="360"/>
      <c r="G58" s="359"/>
      <c r="H58" s="360"/>
      <c r="I58" s="359"/>
      <c r="J58" s="360"/>
      <c r="K58" s="359"/>
      <c r="L58" s="360"/>
      <c r="M58" s="359"/>
      <c r="N58" s="360"/>
      <c r="O58" s="359"/>
      <c r="P58" s="360"/>
      <c r="Q58" s="359"/>
      <c r="R58" s="359"/>
      <c r="S58" s="359"/>
      <c r="T58" s="360"/>
      <c r="U58" s="361"/>
      <c r="V58" s="361"/>
    </row>
    <row r="59" spans="1:22" x14ac:dyDescent="0.25">
      <c r="A59" s="542"/>
      <c r="B59" s="382">
        <v>1</v>
      </c>
      <c r="C59" s="383" t="s">
        <v>1023</v>
      </c>
      <c r="D59" s="363">
        <v>3311</v>
      </c>
      <c r="E59" s="363">
        <v>0</v>
      </c>
      <c r="F59" s="349">
        <f t="shared" ref="F59:F65" si="135">(E59*100)/D59</f>
        <v>0</v>
      </c>
      <c r="G59" s="369">
        <v>517.55797101449275</v>
      </c>
      <c r="H59" s="351">
        <f t="shared" ref="H59:H65" si="136">(G59*100)/D59</f>
        <v>15.631469979296066</v>
      </c>
      <c r="I59" s="365">
        <v>2354.717391304348</v>
      </c>
      <c r="J59" s="351">
        <f t="shared" ref="J59:J65" si="137">(I59*100)/D59</f>
        <v>71.118012422360252</v>
      </c>
      <c r="K59" s="363">
        <v>0</v>
      </c>
      <c r="L59" s="351">
        <f t="shared" ref="L59:L65" si="138">(K59*100)/D59</f>
        <v>0</v>
      </c>
      <c r="M59" s="363">
        <v>0</v>
      </c>
      <c r="N59" s="349">
        <f>(M59*100)/D59</f>
        <v>0</v>
      </c>
      <c r="O59" s="365">
        <v>0</v>
      </c>
      <c r="P59" s="351">
        <f t="shared" ref="P59:P65" si="139">(O59*100)/D59</f>
        <v>0</v>
      </c>
      <c r="Q59" s="347">
        <f t="shared" ref="Q59:Q65" si="140">O59+M59+K59+I59+G59+E59</f>
        <v>2872.275362318841</v>
      </c>
      <c r="R59" s="351">
        <f t="shared" ref="R59:R65" si="141">(Q59*100)/D59</f>
        <v>86.749482401656323</v>
      </c>
      <c r="S59" s="347">
        <f t="shared" ref="S59:S65" si="142">D59-Q59</f>
        <v>438.72463768115904</v>
      </c>
      <c r="T59" s="351">
        <f t="shared" ref="T59:T65" si="143">(S59*100)/D59</f>
        <v>13.250517598343675</v>
      </c>
      <c r="U59" s="355" t="s">
        <v>507</v>
      </c>
      <c r="V59" s="346"/>
    </row>
    <row r="60" spans="1:22" x14ac:dyDescent="0.25">
      <c r="A60" s="542"/>
      <c r="B60" s="382">
        <v>2</v>
      </c>
      <c r="C60" s="383" t="s">
        <v>1024</v>
      </c>
      <c r="D60" s="363">
        <v>4582</v>
      </c>
      <c r="E60" s="363">
        <v>0</v>
      </c>
      <c r="F60" s="349">
        <f t="shared" si="135"/>
        <v>0</v>
      </c>
      <c r="G60" s="369">
        <v>554.24357912178959</v>
      </c>
      <c r="H60" s="351">
        <f t="shared" si="136"/>
        <v>12.096106048053025</v>
      </c>
      <c r="I60" s="365">
        <v>3636.7489643744821</v>
      </c>
      <c r="J60" s="351">
        <f t="shared" si="137"/>
        <v>79.370339685169839</v>
      </c>
      <c r="K60" s="363">
        <v>0</v>
      </c>
      <c r="L60" s="351">
        <f t="shared" si="138"/>
        <v>0</v>
      </c>
      <c r="M60" s="363">
        <v>0</v>
      </c>
      <c r="N60" s="349">
        <f t="shared" ref="N60:N65" si="144">(M60*100)/D60</f>
        <v>0</v>
      </c>
      <c r="O60" s="365">
        <v>0</v>
      </c>
      <c r="P60" s="351">
        <f t="shared" si="139"/>
        <v>0</v>
      </c>
      <c r="Q60" s="347">
        <f t="shared" si="140"/>
        <v>4190.9925434962715</v>
      </c>
      <c r="R60" s="351">
        <f t="shared" si="141"/>
        <v>91.466445733222869</v>
      </c>
      <c r="S60" s="347">
        <f t="shared" si="142"/>
        <v>391.00745650372846</v>
      </c>
      <c r="T60" s="351">
        <f t="shared" si="143"/>
        <v>8.5335542667771378</v>
      </c>
      <c r="U60" s="355" t="s">
        <v>507</v>
      </c>
      <c r="V60" s="346"/>
    </row>
    <row r="61" spans="1:22" x14ac:dyDescent="0.25">
      <c r="A61" s="542"/>
      <c r="B61" s="382">
        <v>3</v>
      </c>
      <c r="C61" s="383" t="s">
        <v>1022</v>
      </c>
      <c r="D61" s="363">
        <v>4497</v>
      </c>
      <c r="E61" s="363">
        <v>0</v>
      </c>
      <c r="F61" s="349">
        <f t="shared" si="135"/>
        <v>0</v>
      </c>
      <c r="G61" s="369">
        <v>162.34657039711192</v>
      </c>
      <c r="H61" s="351">
        <f t="shared" si="136"/>
        <v>3.6101083032490977</v>
      </c>
      <c r="I61" s="365">
        <v>3746.9588447653427</v>
      </c>
      <c r="J61" s="351">
        <f t="shared" si="137"/>
        <v>83.32129963898916</v>
      </c>
      <c r="K61" s="363">
        <v>0</v>
      </c>
      <c r="L61" s="351">
        <f t="shared" si="138"/>
        <v>0</v>
      </c>
      <c r="M61" s="363">
        <v>0</v>
      </c>
      <c r="N61" s="349">
        <f t="shared" si="144"/>
        <v>0</v>
      </c>
      <c r="O61" s="365">
        <v>0</v>
      </c>
      <c r="P61" s="351">
        <f t="shared" si="139"/>
        <v>0</v>
      </c>
      <c r="Q61" s="347">
        <f t="shared" si="140"/>
        <v>3909.3054151624547</v>
      </c>
      <c r="R61" s="351">
        <f t="shared" si="141"/>
        <v>86.931407942238266</v>
      </c>
      <c r="S61" s="347">
        <f t="shared" si="142"/>
        <v>587.69458483754534</v>
      </c>
      <c r="T61" s="351">
        <f t="shared" si="143"/>
        <v>13.068592057761737</v>
      </c>
      <c r="U61" s="355" t="s">
        <v>507</v>
      </c>
      <c r="V61" s="346"/>
    </row>
    <row r="62" spans="1:22" x14ac:dyDescent="0.25">
      <c r="A62" s="542"/>
      <c r="B62" s="382">
        <v>4</v>
      </c>
      <c r="C62" s="383" t="s">
        <v>1025</v>
      </c>
      <c r="D62" s="363">
        <v>1425</v>
      </c>
      <c r="E62" s="363">
        <v>0</v>
      </c>
      <c r="F62" s="349">
        <f t="shared" si="135"/>
        <v>0</v>
      </c>
      <c r="G62" s="369">
        <v>0</v>
      </c>
      <c r="H62" s="351">
        <f t="shared" si="136"/>
        <v>0</v>
      </c>
      <c r="I62" s="365">
        <v>1038.5023584905662</v>
      </c>
      <c r="J62" s="351">
        <f t="shared" si="137"/>
        <v>72.877358490566039</v>
      </c>
      <c r="K62" s="363">
        <v>0</v>
      </c>
      <c r="L62" s="351">
        <f t="shared" si="138"/>
        <v>0</v>
      </c>
      <c r="M62" s="363">
        <v>0</v>
      </c>
      <c r="N62" s="349">
        <f t="shared" si="144"/>
        <v>0</v>
      </c>
      <c r="O62" s="365">
        <v>0</v>
      </c>
      <c r="P62" s="351">
        <f t="shared" si="139"/>
        <v>0</v>
      </c>
      <c r="Q62" s="347">
        <f t="shared" si="140"/>
        <v>1038.5023584905662</v>
      </c>
      <c r="R62" s="351">
        <f t="shared" si="141"/>
        <v>72.877358490566039</v>
      </c>
      <c r="S62" s="347">
        <f t="shared" si="142"/>
        <v>386.49764150943383</v>
      </c>
      <c r="T62" s="351">
        <f t="shared" si="143"/>
        <v>27.122641509433951</v>
      </c>
      <c r="U62" s="355" t="s">
        <v>507</v>
      </c>
      <c r="V62" s="346"/>
    </row>
    <row r="63" spans="1:22" x14ac:dyDescent="0.25">
      <c r="A63" s="542"/>
      <c r="B63" s="382">
        <v>5</v>
      </c>
      <c r="C63" s="383" t="s">
        <v>1026</v>
      </c>
      <c r="D63" s="363">
        <v>2626</v>
      </c>
      <c r="E63" s="363">
        <v>0</v>
      </c>
      <c r="F63" s="349">
        <f t="shared" si="135"/>
        <v>0</v>
      </c>
      <c r="G63" s="369">
        <v>926.19729729729727</v>
      </c>
      <c r="H63" s="351">
        <f t="shared" si="136"/>
        <v>35.270270270270274</v>
      </c>
      <c r="I63" s="365">
        <v>1696.254054054054</v>
      </c>
      <c r="J63" s="351">
        <f t="shared" si="137"/>
        <v>64.594594594594582</v>
      </c>
      <c r="K63" s="363">
        <v>0</v>
      </c>
      <c r="L63" s="351">
        <f t="shared" si="138"/>
        <v>0</v>
      </c>
      <c r="M63" s="363">
        <v>0</v>
      </c>
      <c r="N63" s="349">
        <f t="shared" si="144"/>
        <v>0</v>
      </c>
      <c r="O63" s="365">
        <v>0</v>
      </c>
      <c r="P63" s="351">
        <f t="shared" si="139"/>
        <v>0</v>
      </c>
      <c r="Q63" s="347">
        <f t="shared" si="140"/>
        <v>2622.4513513513511</v>
      </c>
      <c r="R63" s="351">
        <f t="shared" si="141"/>
        <v>99.864864864864842</v>
      </c>
      <c r="S63" s="347">
        <f t="shared" si="142"/>
        <v>3.5486486486488502</v>
      </c>
      <c r="T63" s="351">
        <f t="shared" si="143"/>
        <v>0.1351351351351428</v>
      </c>
      <c r="U63" s="355" t="s">
        <v>507</v>
      </c>
      <c r="V63" s="346"/>
    </row>
    <row r="64" spans="1:22" x14ac:dyDescent="0.25">
      <c r="A64" s="542"/>
      <c r="B64" s="382">
        <v>6</v>
      </c>
      <c r="C64" s="383" t="s">
        <v>1027</v>
      </c>
      <c r="D64" s="363">
        <v>2284</v>
      </c>
      <c r="E64" s="363">
        <v>0</v>
      </c>
      <c r="F64" s="349">
        <f t="shared" si="135"/>
        <v>0</v>
      </c>
      <c r="G64" s="369">
        <v>131.09693877551021</v>
      </c>
      <c r="H64" s="351">
        <f t="shared" si="136"/>
        <v>5.7397959183673475</v>
      </c>
      <c r="I64" s="365">
        <v>1643.0816326530614</v>
      </c>
      <c r="J64" s="351">
        <f t="shared" si="137"/>
        <v>71.938775510204096</v>
      </c>
      <c r="K64" s="363">
        <v>0</v>
      </c>
      <c r="L64" s="351">
        <f t="shared" si="138"/>
        <v>0</v>
      </c>
      <c r="M64" s="363">
        <v>0</v>
      </c>
      <c r="N64" s="349">
        <f t="shared" si="144"/>
        <v>0</v>
      </c>
      <c r="O64" s="365">
        <v>0</v>
      </c>
      <c r="P64" s="351">
        <f t="shared" si="139"/>
        <v>0</v>
      </c>
      <c r="Q64" s="347">
        <f t="shared" si="140"/>
        <v>1774.1785714285716</v>
      </c>
      <c r="R64" s="351">
        <f t="shared" si="141"/>
        <v>77.678571428571431</v>
      </c>
      <c r="S64" s="347">
        <f t="shared" si="142"/>
        <v>509.82142857142844</v>
      </c>
      <c r="T64" s="351">
        <f t="shared" si="143"/>
        <v>22.321428571428566</v>
      </c>
      <c r="U64" s="355" t="s">
        <v>507</v>
      </c>
      <c r="V64" s="346"/>
    </row>
    <row r="65" spans="1:22" x14ac:dyDescent="0.25">
      <c r="A65" s="542"/>
      <c r="B65" s="382">
        <v>7</v>
      </c>
      <c r="C65" s="383" t="s">
        <v>1028</v>
      </c>
      <c r="D65" s="363">
        <v>1512</v>
      </c>
      <c r="E65" s="363">
        <v>0</v>
      </c>
      <c r="F65" s="349">
        <f t="shared" si="135"/>
        <v>0</v>
      </c>
      <c r="G65" s="369">
        <v>0</v>
      </c>
      <c r="H65" s="351">
        <f t="shared" si="136"/>
        <v>0</v>
      </c>
      <c r="I65" s="365">
        <v>1149.5118790496761</v>
      </c>
      <c r="J65" s="351">
        <f t="shared" si="137"/>
        <v>76.025917926565882</v>
      </c>
      <c r="K65" s="363">
        <v>0</v>
      </c>
      <c r="L65" s="351">
        <f t="shared" si="138"/>
        <v>0</v>
      </c>
      <c r="M65" s="363">
        <v>0</v>
      </c>
      <c r="N65" s="349">
        <f t="shared" si="144"/>
        <v>0</v>
      </c>
      <c r="O65" s="365">
        <v>0</v>
      </c>
      <c r="P65" s="351">
        <f t="shared" si="139"/>
        <v>0</v>
      </c>
      <c r="Q65" s="347">
        <f t="shared" si="140"/>
        <v>1149.5118790496761</v>
      </c>
      <c r="R65" s="351">
        <f t="shared" si="141"/>
        <v>76.025917926565882</v>
      </c>
      <c r="S65" s="347">
        <f t="shared" si="142"/>
        <v>362.48812095032395</v>
      </c>
      <c r="T65" s="351">
        <f t="shared" si="143"/>
        <v>23.974082073434122</v>
      </c>
      <c r="U65" s="355" t="s">
        <v>507</v>
      </c>
      <c r="V65" s="346"/>
    </row>
    <row r="66" spans="1:22" s="367" customFormat="1" x14ac:dyDescent="0.25">
      <c r="A66" s="542"/>
      <c r="B66" s="545" t="s">
        <v>23</v>
      </c>
      <c r="C66" s="545"/>
      <c r="D66" s="370">
        <f>SUM(D59:D65)</f>
        <v>20237</v>
      </c>
      <c r="E66" s="371">
        <f>SUM(E59:E65)</f>
        <v>0</v>
      </c>
      <c r="F66" s="372">
        <f>SUM(F62:F65)/7</f>
        <v>0</v>
      </c>
      <c r="G66" s="371">
        <f t="shared" ref="G66" si="145">SUM(G59:G65)</f>
        <v>2291.4423566062019</v>
      </c>
      <c r="H66" s="372">
        <f t="shared" ref="H66" si="146">SUM(H62:H65)/7</f>
        <v>5.8585808840910891</v>
      </c>
      <c r="I66" s="371">
        <f t="shared" ref="I66" si="147">SUM(I59:I65)</f>
        <v>15265.775124691532</v>
      </c>
      <c r="J66" s="372">
        <f t="shared" ref="J66" si="148">SUM(J62:J65)/7</f>
        <v>40.776663788847223</v>
      </c>
      <c r="K66" s="371">
        <f t="shared" ref="K66" si="149">SUM(K59:K65)</f>
        <v>0</v>
      </c>
      <c r="L66" s="372">
        <f t="shared" ref="L66" si="150">SUM(L62:L65)/7</f>
        <v>0</v>
      </c>
      <c r="M66" s="371">
        <f t="shared" ref="M66" si="151">SUM(M59:M65)</f>
        <v>0</v>
      </c>
      <c r="N66" s="372">
        <f t="shared" ref="N66" si="152">SUM(N62:N65)/7</f>
        <v>0</v>
      </c>
      <c r="O66" s="371">
        <f t="shared" ref="O66" si="153">SUM(O59:O65)</f>
        <v>0</v>
      </c>
      <c r="P66" s="372">
        <f t="shared" ref="P66" si="154">SUM(P62:P65)/7</f>
        <v>0</v>
      </c>
      <c r="Q66" s="371">
        <f t="shared" ref="Q66" si="155">SUM(Q59:Q65)</f>
        <v>17557.217481297732</v>
      </c>
      <c r="R66" s="372">
        <f t="shared" ref="R66" si="156">SUM(R62:R65)/7</f>
        <v>46.63524467293832</v>
      </c>
      <c r="S66" s="371">
        <f t="shared" ref="S66" si="157">SUM(S59:S65)</f>
        <v>2679.7825187022681</v>
      </c>
      <c r="T66" s="372">
        <f t="shared" ref="T66" si="158">SUM(T62:T65)/7</f>
        <v>10.507612469918826</v>
      </c>
      <c r="U66" s="384"/>
      <c r="V66" s="373"/>
    </row>
    <row r="67" spans="1:22" x14ac:dyDescent="0.25">
      <c r="A67" s="542">
        <v>8</v>
      </c>
      <c r="B67" s="549" t="s">
        <v>1029</v>
      </c>
      <c r="C67" s="549"/>
      <c r="D67" s="359"/>
      <c r="E67" s="359"/>
      <c r="F67" s="360"/>
      <c r="G67" s="359"/>
      <c r="H67" s="360"/>
      <c r="I67" s="359"/>
      <c r="J67" s="360"/>
      <c r="K67" s="359"/>
      <c r="L67" s="360"/>
      <c r="M67" s="359"/>
      <c r="N67" s="360"/>
      <c r="O67" s="359"/>
      <c r="P67" s="360"/>
      <c r="Q67" s="359"/>
      <c r="R67" s="359"/>
      <c r="S67" s="359"/>
      <c r="T67" s="360"/>
      <c r="U67" s="361"/>
      <c r="V67" s="361"/>
    </row>
    <row r="68" spans="1:22" x14ac:dyDescent="0.25">
      <c r="A68" s="542"/>
      <c r="B68" s="385">
        <v>1</v>
      </c>
      <c r="C68" s="386" t="s">
        <v>1030</v>
      </c>
      <c r="D68" s="363">
        <v>2624</v>
      </c>
      <c r="E68" s="363">
        <v>292.58215962441312</v>
      </c>
      <c r="F68" s="349">
        <f t="shared" ref="F68:F77" si="159">(E68*100)/D68</f>
        <v>11.150234741784036</v>
      </c>
      <c r="G68" s="369">
        <v>428.09389671361504</v>
      </c>
      <c r="H68" s="351">
        <f t="shared" ref="H68:H77" si="160">(G68*100)/D68</f>
        <v>16.314553990610328</v>
      </c>
      <c r="I68" s="365">
        <v>692.95774647887322</v>
      </c>
      <c r="J68" s="351">
        <f t="shared" ref="J68:J77" si="161">(I68*100)/D68</f>
        <v>26.408450704225348</v>
      </c>
      <c r="K68" s="363">
        <v>508.16901408450707</v>
      </c>
      <c r="L68" s="351">
        <f t="shared" ref="L68:L77" si="162">(K68*100)/D68</f>
        <v>19.366197183098592</v>
      </c>
      <c r="M68" s="363">
        <v>0</v>
      </c>
      <c r="N68" s="349">
        <f>(M68*100)/D68</f>
        <v>0</v>
      </c>
      <c r="O68" s="365">
        <v>0</v>
      </c>
      <c r="P68" s="351">
        <f t="shared" ref="P68:P77" si="163">(O68*100)/D68</f>
        <v>0</v>
      </c>
      <c r="Q68" s="347">
        <f t="shared" ref="Q68:Q77" si="164">O68+M68+K68+I68+G68+E68</f>
        <v>1921.8028169014085</v>
      </c>
      <c r="R68" s="351">
        <f t="shared" ref="R68:R77" si="165">(Q68*100)/D68</f>
        <v>73.239436619718305</v>
      </c>
      <c r="S68" s="347">
        <f t="shared" ref="S68:S77" si="166">D68-Q68</f>
        <v>702.19718309859149</v>
      </c>
      <c r="T68" s="351">
        <f t="shared" ref="T68:T77" si="167">(S68*100)/D68</f>
        <v>26.760563380281688</v>
      </c>
      <c r="U68" s="355" t="s">
        <v>507</v>
      </c>
      <c r="V68" s="346"/>
    </row>
    <row r="69" spans="1:22" x14ac:dyDescent="0.25">
      <c r="A69" s="542"/>
      <c r="B69" s="385">
        <v>2</v>
      </c>
      <c r="C69" s="386" t="s">
        <v>1031</v>
      </c>
      <c r="D69" s="363">
        <v>2907</v>
      </c>
      <c r="E69" s="363">
        <v>396.69083155650321</v>
      </c>
      <c r="F69" s="349">
        <f t="shared" si="159"/>
        <v>13.646055437100213</v>
      </c>
      <c r="G69" s="369">
        <v>0</v>
      </c>
      <c r="H69" s="351">
        <f t="shared" si="160"/>
        <v>0</v>
      </c>
      <c r="I69" s="365">
        <v>1369.8230277185501</v>
      </c>
      <c r="J69" s="351">
        <f t="shared" si="161"/>
        <v>47.121535181236673</v>
      </c>
      <c r="K69" s="363">
        <v>480.36780383795309</v>
      </c>
      <c r="L69" s="351">
        <f t="shared" si="162"/>
        <v>16.524520255863539</v>
      </c>
      <c r="M69" s="363">
        <v>0</v>
      </c>
      <c r="N69" s="349">
        <f t="shared" ref="N69:N77" si="168">(M69*100)/D69</f>
        <v>0</v>
      </c>
      <c r="O69" s="365">
        <v>0</v>
      </c>
      <c r="P69" s="351">
        <f t="shared" si="163"/>
        <v>0</v>
      </c>
      <c r="Q69" s="347">
        <f t="shared" si="164"/>
        <v>2246.8816631130062</v>
      </c>
      <c r="R69" s="351">
        <f t="shared" si="165"/>
        <v>77.292110874200418</v>
      </c>
      <c r="S69" s="347">
        <f t="shared" si="166"/>
        <v>660.1183368869938</v>
      </c>
      <c r="T69" s="351">
        <f t="shared" si="167"/>
        <v>22.707889125799579</v>
      </c>
      <c r="U69" s="355" t="s">
        <v>507</v>
      </c>
      <c r="V69" s="346"/>
    </row>
    <row r="70" spans="1:22" x14ac:dyDescent="0.25">
      <c r="A70" s="542"/>
      <c r="B70" s="385">
        <v>3</v>
      </c>
      <c r="C70" s="386" t="s">
        <v>1032</v>
      </c>
      <c r="D70" s="363">
        <v>3002</v>
      </c>
      <c r="E70" s="363">
        <v>339.65485714285717</v>
      </c>
      <c r="F70" s="349">
        <f t="shared" si="159"/>
        <v>11.314285714285715</v>
      </c>
      <c r="G70" s="369">
        <v>0</v>
      </c>
      <c r="H70" s="351">
        <f t="shared" si="160"/>
        <v>0</v>
      </c>
      <c r="I70" s="365">
        <v>994.94857142857154</v>
      </c>
      <c r="J70" s="351">
        <f t="shared" si="161"/>
        <v>33.142857142857146</v>
      </c>
      <c r="K70" s="363">
        <v>473.45828571428575</v>
      </c>
      <c r="L70" s="351">
        <f t="shared" si="162"/>
        <v>15.771428571428572</v>
      </c>
      <c r="M70" s="363">
        <v>0</v>
      </c>
      <c r="N70" s="349">
        <f t="shared" si="168"/>
        <v>0</v>
      </c>
      <c r="O70" s="365">
        <v>0</v>
      </c>
      <c r="P70" s="351">
        <f t="shared" si="163"/>
        <v>0</v>
      </c>
      <c r="Q70" s="347">
        <f t="shared" si="164"/>
        <v>1808.0617142857145</v>
      </c>
      <c r="R70" s="351">
        <f t="shared" si="165"/>
        <v>60.228571428571435</v>
      </c>
      <c r="S70" s="347">
        <f t="shared" si="166"/>
        <v>1193.9382857142855</v>
      </c>
      <c r="T70" s="351">
        <f t="shared" si="167"/>
        <v>39.771428571428565</v>
      </c>
      <c r="U70" s="355" t="s">
        <v>507</v>
      </c>
      <c r="V70" s="346"/>
    </row>
    <row r="71" spans="1:22" x14ac:dyDescent="0.25">
      <c r="A71" s="542"/>
      <c r="B71" s="385">
        <v>4</v>
      </c>
      <c r="C71" s="386" t="s">
        <v>1033</v>
      </c>
      <c r="D71" s="363">
        <v>1623</v>
      </c>
      <c r="E71" s="363">
        <v>0</v>
      </c>
      <c r="F71" s="349">
        <f t="shared" si="159"/>
        <v>0</v>
      </c>
      <c r="G71" s="369">
        <v>278.57462686567163</v>
      </c>
      <c r="H71" s="351">
        <f t="shared" si="160"/>
        <v>17.164179104477611</v>
      </c>
      <c r="I71" s="365">
        <v>670.19402985074623</v>
      </c>
      <c r="J71" s="351">
        <f t="shared" si="161"/>
        <v>41.293532338308459</v>
      </c>
      <c r="K71" s="363">
        <v>0</v>
      </c>
      <c r="L71" s="351">
        <f t="shared" si="162"/>
        <v>0</v>
      </c>
      <c r="M71" s="363">
        <v>0</v>
      </c>
      <c r="N71" s="349">
        <f t="shared" si="168"/>
        <v>0</v>
      </c>
      <c r="O71" s="365">
        <v>0</v>
      </c>
      <c r="P71" s="351">
        <f t="shared" si="163"/>
        <v>0</v>
      </c>
      <c r="Q71" s="347">
        <f t="shared" si="164"/>
        <v>948.76865671641781</v>
      </c>
      <c r="R71" s="351">
        <f t="shared" si="165"/>
        <v>58.457711442786056</v>
      </c>
      <c r="S71" s="347">
        <f t="shared" si="166"/>
        <v>674.23134328358219</v>
      </c>
      <c r="T71" s="351">
        <f t="shared" si="167"/>
        <v>41.542288557213944</v>
      </c>
      <c r="U71" s="355" t="s">
        <v>507</v>
      </c>
      <c r="V71" s="346"/>
    </row>
    <row r="72" spans="1:22" x14ac:dyDescent="0.25">
      <c r="A72" s="542"/>
      <c r="B72" s="385">
        <v>5</v>
      </c>
      <c r="C72" s="386" t="s">
        <v>1034</v>
      </c>
      <c r="D72" s="363">
        <v>2701</v>
      </c>
      <c r="E72" s="363">
        <v>670.01550387596899</v>
      </c>
      <c r="F72" s="349">
        <f t="shared" si="159"/>
        <v>24.806201550387598</v>
      </c>
      <c r="G72" s="369">
        <v>0</v>
      </c>
      <c r="H72" s="351">
        <f t="shared" si="160"/>
        <v>0</v>
      </c>
      <c r="I72" s="365">
        <v>1500.5555555555557</v>
      </c>
      <c r="J72" s="351">
        <f t="shared" si="161"/>
        <v>55.555555555555557</v>
      </c>
      <c r="K72" s="363">
        <v>31.406976744186046</v>
      </c>
      <c r="L72" s="351">
        <f t="shared" si="162"/>
        <v>1.1627906976744184</v>
      </c>
      <c r="M72" s="363">
        <v>0</v>
      </c>
      <c r="N72" s="349">
        <f t="shared" si="168"/>
        <v>0</v>
      </c>
      <c r="O72" s="365">
        <v>0</v>
      </c>
      <c r="P72" s="351">
        <f t="shared" si="163"/>
        <v>0</v>
      </c>
      <c r="Q72" s="347">
        <f t="shared" si="164"/>
        <v>2201.9780361757107</v>
      </c>
      <c r="R72" s="351">
        <f t="shared" si="165"/>
        <v>81.52454780361758</v>
      </c>
      <c r="S72" s="347">
        <f t="shared" si="166"/>
        <v>499.02196382428929</v>
      </c>
      <c r="T72" s="351">
        <f t="shared" si="167"/>
        <v>18.475452196382424</v>
      </c>
      <c r="U72" s="355" t="s">
        <v>507</v>
      </c>
      <c r="V72" s="346"/>
    </row>
    <row r="73" spans="1:22" x14ac:dyDescent="0.25">
      <c r="A73" s="542"/>
      <c r="B73" s="385">
        <v>6</v>
      </c>
      <c r="C73" s="386" t="s">
        <v>1035</v>
      </c>
      <c r="D73" s="363">
        <v>1310</v>
      </c>
      <c r="E73" s="363">
        <v>276.49590163934425</v>
      </c>
      <c r="F73" s="349">
        <f t="shared" si="159"/>
        <v>21.106557377049182</v>
      </c>
      <c r="G73" s="369">
        <v>0</v>
      </c>
      <c r="H73" s="351">
        <f t="shared" si="160"/>
        <v>0</v>
      </c>
      <c r="I73" s="365">
        <v>630.84016393442619</v>
      </c>
      <c r="J73" s="351">
        <f t="shared" si="161"/>
        <v>48.155737704918025</v>
      </c>
      <c r="K73" s="363">
        <v>37.581967213114751</v>
      </c>
      <c r="L73" s="351">
        <f t="shared" si="162"/>
        <v>2.8688524590163929</v>
      </c>
      <c r="M73" s="363">
        <v>0</v>
      </c>
      <c r="N73" s="349">
        <f t="shared" si="168"/>
        <v>0</v>
      </c>
      <c r="O73" s="365">
        <v>0</v>
      </c>
      <c r="P73" s="351">
        <f t="shared" si="163"/>
        <v>0</v>
      </c>
      <c r="Q73" s="347">
        <f t="shared" si="164"/>
        <v>944.91803278688531</v>
      </c>
      <c r="R73" s="351">
        <f t="shared" si="165"/>
        <v>72.131147540983605</v>
      </c>
      <c r="S73" s="347">
        <f t="shared" si="166"/>
        <v>365.08196721311469</v>
      </c>
      <c r="T73" s="351">
        <f t="shared" si="167"/>
        <v>27.868852459016388</v>
      </c>
      <c r="U73" s="355" t="s">
        <v>507</v>
      </c>
      <c r="V73" s="346"/>
    </row>
    <row r="74" spans="1:22" x14ac:dyDescent="0.25">
      <c r="A74" s="542"/>
      <c r="B74" s="385">
        <v>7</v>
      </c>
      <c r="C74" s="386" t="s">
        <v>1036</v>
      </c>
      <c r="D74" s="363">
        <v>1817</v>
      </c>
      <c r="E74" s="363">
        <v>185.34061930783244</v>
      </c>
      <c r="F74" s="349">
        <f t="shared" si="159"/>
        <v>10.200364298724956</v>
      </c>
      <c r="G74" s="369">
        <v>122.45719489981786</v>
      </c>
      <c r="H74" s="351">
        <f t="shared" si="160"/>
        <v>6.7395264116575593</v>
      </c>
      <c r="I74" s="365">
        <v>1022.6830601092897</v>
      </c>
      <c r="J74" s="351">
        <f t="shared" si="161"/>
        <v>56.284153005464482</v>
      </c>
      <c r="K74" s="363">
        <v>195.26958105646631</v>
      </c>
      <c r="L74" s="351">
        <f t="shared" si="162"/>
        <v>10.746812386156648</v>
      </c>
      <c r="M74" s="363">
        <v>0</v>
      </c>
      <c r="N74" s="349">
        <f t="shared" si="168"/>
        <v>0</v>
      </c>
      <c r="O74" s="365">
        <v>0</v>
      </c>
      <c r="P74" s="351">
        <f t="shared" si="163"/>
        <v>0</v>
      </c>
      <c r="Q74" s="347">
        <f t="shared" si="164"/>
        <v>1525.7504553734063</v>
      </c>
      <c r="R74" s="351">
        <f t="shared" si="165"/>
        <v>83.970856102003651</v>
      </c>
      <c r="S74" s="347">
        <f t="shared" si="166"/>
        <v>291.24954462659366</v>
      </c>
      <c r="T74" s="351">
        <f t="shared" si="167"/>
        <v>16.029143897996349</v>
      </c>
      <c r="U74" s="355" t="s">
        <v>507</v>
      </c>
      <c r="V74" s="346"/>
    </row>
    <row r="75" spans="1:22" x14ac:dyDescent="0.25">
      <c r="A75" s="542"/>
      <c r="B75" s="385">
        <v>8</v>
      </c>
      <c r="C75" s="386" t="s">
        <v>1037</v>
      </c>
      <c r="D75" s="363">
        <v>1968</v>
      </c>
      <c r="E75" s="363">
        <v>178.63842662632374</v>
      </c>
      <c r="F75" s="349">
        <f t="shared" si="159"/>
        <v>9.0771558245083206</v>
      </c>
      <c r="G75" s="369">
        <v>0</v>
      </c>
      <c r="H75" s="351">
        <f t="shared" si="160"/>
        <v>0</v>
      </c>
      <c r="I75" s="365">
        <v>917.01059001512851</v>
      </c>
      <c r="J75" s="351">
        <f t="shared" si="161"/>
        <v>46.59606656580938</v>
      </c>
      <c r="K75" s="363">
        <v>41.682299546142204</v>
      </c>
      <c r="L75" s="351">
        <f t="shared" si="162"/>
        <v>2.118003025718608</v>
      </c>
      <c r="M75" s="363">
        <v>0</v>
      </c>
      <c r="N75" s="349">
        <f t="shared" si="168"/>
        <v>0</v>
      </c>
      <c r="O75" s="365">
        <v>0</v>
      </c>
      <c r="P75" s="351">
        <f t="shared" si="163"/>
        <v>0</v>
      </c>
      <c r="Q75" s="347">
        <f t="shared" si="164"/>
        <v>1137.3313161875944</v>
      </c>
      <c r="R75" s="351">
        <f t="shared" si="165"/>
        <v>57.791225416036305</v>
      </c>
      <c r="S75" s="347">
        <f t="shared" si="166"/>
        <v>830.66868381240556</v>
      </c>
      <c r="T75" s="351">
        <f t="shared" si="167"/>
        <v>42.208774583963695</v>
      </c>
      <c r="U75" s="355" t="s">
        <v>507</v>
      </c>
      <c r="V75" s="346"/>
    </row>
    <row r="76" spans="1:22" x14ac:dyDescent="0.25">
      <c r="A76" s="542"/>
      <c r="B76" s="385">
        <v>9</v>
      </c>
      <c r="C76" s="386" t="s">
        <v>1038</v>
      </c>
      <c r="D76" s="363">
        <v>2684</v>
      </c>
      <c r="E76" s="363">
        <v>735.44632768361578</v>
      </c>
      <c r="F76" s="349">
        <f t="shared" si="159"/>
        <v>27.401129943502823</v>
      </c>
      <c r="G76" s="369">
        <v>0</v>
      </c>
      <c r="H76" s="351">
        <f t="shared" si="160"/>
        <v>0</v>
      </c>
      <c r="I76" s="365">
        <v>1421.6101694915253</v>
      </c>
      <c r="J76" s="351">
        <f t="shared" si="161"/>
        <v>52.966101694915253</v>
      </c>
      <c r="K76" s="363">
        <v>128.89265536723164</v>
      </c>
      <c r="L76" s="351">
        <f t="shared" si="162"/>
        <v>4.8022598870056497</v>
      </c>
      <c r="M76" s="363">
        <v>0</v>
      </c>
      <c r="N76" s="349">
        <f t="shared" si="168"/>
        <v>0</v>
      </c>
      <c r="O76" s="365">
        <v>0</v>
      </c>
      <c r="P76" s="351">
        <f t="shared" si="163"/>
        <v>0</v>
      </c>
      <c r="Q76" s="347">
        <f t="shared" si="164"/>
        <v>2285.9491525423728</v>
      </c>
      <c r="R76" s="351">
        <f t="shared" si="165"/>
        <v>85.169491525423723</v>
      </c>
      <c r="S76" s="347">
        <f t="shared" si="166"/>
        <v>398.05084745762724</v>
      </c>
      <c r="T76" s="351">
        <f t="shared" si="167"/>
        <v>14.830508474576275</v>
      </c>
      <c r="U76" s="355" t="s">
        <v>507</v>
      </c>
      <c r="V76" s="346"/>
    </row>
    <row r="77" spans="1:22" x14ac:dyDescent="0.25">
      <c r="A77" s="542"/>
      <c r="B77" s="385">
        <v>10</v>
      </c>
      <c r="C77" s="386" t="s">
        <v>1039</v>
      </c>
      <c r="D77" s="363">
        <v>4633</v>
      </c>
      <c r="E77" s="363">
        <v>864.91606367583211</v>
      </c>
      <c r="F77" s="349">
        <f t="shared" si="159"/>
        <v>18.668596237337191</v>
      </c>
      <c r="G77" s="369">
        <v>0</v>
      </c>
      <c r="H77" s="351">
        <f t="shared" si="160"/>
        <v>0</v>
      </c>
      <c r="I77" s="365">
        <v>1582.3270622286541</v>
      </c>
      <c r="J77" s="351">
        <f t="shared" si="161"/>
        <v>34.153400868306804</v>
      </c>
      <c r="K77" s="363">
        <v>724.11577424023153</v>
      </c>
      <c r="L77" s="351">
        <f t="shared" si="162"/>
        <v>15.629522431259044</v>
      </c>
      <c r="M77" s="363">
        <v>0</v>
      </c>
      <c r="N77" s="349">
        <f t="shared" si="168"/>
        <v>0</v>
      </c>
      <c r="O77" s="365">
        <v>0</v>
      </c>
      <c r="P77" s="351">
        <f t="shared" si="163"/>
        <v>0</v>
      </c>
      <c r="Q77" s="347">
        <f t="shared" si="164"/>
        <v>3171.3589001447176</v>
      </c>
      <c r="R77" s="351">
        <f t="shared" si="165"/>
        <v>68.451519536903035</v>
      </c>
      <c r="S77" s="347">
        <f t="shared" si="166"/>
        <v>1461.6410998552824</v>
      </c>
      <c r="T77" s="351">
        <f t="shared" si="167"/>
        <v>31.548480463096968</v>
      </c>
      <c r="U77" s="355" t="s">
        <v>507</v>
      </c>
      <c r="V77" s="346"/>
    </row>
    <row r="78" spans="1:22" s="367" customFormat="1" x14ac:dyDescent="0.25">
      <c r="A78" s="542"/>
      <c r="B78" s="545" t="s">
        <v>23</v>
      </c>
      <c r="C78" s="545"/>
      <c r="D78" s="379">
        <f>SUM(D68:D77)</f>
        <v>25269</v>
      </c>
      <c r="E78" s="371">
        <f>SUM(E68:E77)</f>
        <v>3939.7806911326911</v>
      </c>
      <c r="F78" s="372">
        <f>SUM(F68:F77)/10</f>
        <v>14.737058112468006</v>
      </c>
      <c r="G78" s="371">
        <f t="shared" ref="G78" si="169">SUM(G68:G77)</f>
        <v>829.12571847910453</v>
      </c>
      <c r="H78" s="372">
        <f t="shared" ref="H78" si="170">SUM(H68:H77)/10</f>
        <v>4.0218259506745495</v>
      </c>
      <c r="I78" s="371">
        <f t="shared" ref="I78" si="171">SUM(I68:I77)</f>
        <v>10802.949976811322</v>
      </c>
      <c r="J78" s="372">
        <f t="shared" ref="J78" si="172">SUM(J68:J77)/10</f>
        <v>44.167739076159712</v>
      </c>
      <c r="K78" s="371">
        <f t="shared" ref="K78" si="173">SUM(K68:K77)</f>
        <v>2620.9443578041182</v>
      </c>
      <c r="L78" s="372">
        <f t="shared" ref="L78" si="174">SUM(L68:L77)/10</f>
        <v>8.899038689722147</v>
      </c>
      <c r="M78" s="371">
        <f t="shared" ref="M78" si="175">SUM(M68:M77)</f>
        <v>0</v>
      </c>
      <c r="N78" s="372">
        <f t="shared" ref="N78" si="176">SUM(N68:N77)/10</f>
        <v>0</v>
      </c>
      <c r="O78" s="371">
        <f t="shared" ref="O78" si="177">SUM(O68:O77)</f>
        <v>0</v>
      </c>
      <c r="P78" s="372">
        <f t="shared" ref="P78" si="178">SUM(P68:P77)/10</f>
        <v>0</v>
      </c>
      <c r="Q78" s="371">
        <f t="shared" ref="Q78" si="179">SUM(Q68:Q77)</f>
        <v>18192.800744227236</v>
      </c>
      <c r="R78" s="372">
        <f t="shared" ref="R78" si="180">SUM(R68:R77)/10</f>
        <v>71.825661829024412</v>
      </c>
      <c r="S78" s="371">
        <f t="shared" ref="S78" si="181">SUM(S68:S77)</f>
        <v>7076.1992557727663</v>
      </c>
      <c r="T78" s="372">
        <f t="shared" ref="T78" si="182">SUM(T68:T77)/10</f>
        <v>28.174338170975584</v>
      </c>
      <c r="U78" s="379"/>
      <c r="V78" s="376"/>
    </row>
    <row r="79" spans="1:22" x14ac:dyDescent="0.25">
      <c r="A79" s="542">
        <v>9</v>
      </c>
      <c r="B79" s="549" t="s">
        <v>1040</v>
      </c>
      <c r="C79" s="549"/>
      <c r="D79" s="359"/>
      <c r="E79" s="359"/>
      <c r="F79" s="360"/>
      <c r="G79" s="359"/>
      <c r="H79" s="360"/>
      <c r="I79" s="359"/>
      <c r="J79" s="360"/>
      <c r="K79" s="359"/>
      <c r="L79" s="360"/>
      <c r="M79" s="359"/>
      <c r="N79" s="360"/>
      <c r="O79" s="359"/>
      <c r="P79" s="360"/>
      <c r="Q79" s="359"/>
      <c r="R79" s="359"/>
      <c r="S79" s="359"/>
      <c r="T79" s="360"/>
      <c r="U79" s="361"/>
      <c r="V79" s="361"/>
    </row>
    <row r="80" spans="1:22" x14ac:dyDescent="0.25">
      <c r="A80" s="542"/>
      <c r="B80" s="387">
        <v>1</v>
      </c>
      <c r="C80" s="388" t="s">
        <v>1041</v>
      </c>
      <c r="D80" s="363">
        <v>1689</v>
      </c>
      <c r="E80" s="363">
        <v>599.42941176470583</v>
      </c>
      <c r="F80" s="349">
        <f t="shared" ref="F80:F85" si="183">(E80*100)/D80</f>
        <v>35.490196078431367</v>
      </c>
      <c r="G80" s="369">
        <v>0</v>
      </c>
      <c r="H80" s="351">
        <f t="shared" ref="H80:H85" si="184">(G80*100)/D80</f>
        <v>0</v>
      </c>
      <c r="I80" s="365">
        <v>728.58823529411757</v>
      </c>
      <c r="J80" s="351">
        <f t="shared" ref="J80:J85" si="185">(I80*100)/D80</f>
        <v>43.13725490196078</v>
      </c>
      <c r="K80" s="363">
        <v>0</v>
      </c>
      <c r="L80" s="351">
        <f t="shared" ref="L80:L85" si="186">(K80*100)/D80</f>
        <v>0</v>
      </c>
      <c r="M80" s="363">
        <v>0</v>
      </c>
      <c r="N80" s="349">
        <f>(M80*100)/D80</f>
        <v>0</v>
      </c>
      <c r="O80" s="365">
        <v>0</v>
      </c>
      <c r="P80" s="351">
        <f t="shared" ref="P80:P85" si="187">(O80*100)/D80</f>
        <v>0</v>
      </c>
      <c r="Q80" s="347">
        <f t="shared" ref="Q80:Q85" si="188">O80+M80+K80+I80+G80+E80</f>
        <v>1328.0176470588235</v>
      </c>
      <c r="R80" s="351">
        <f t="shared" ref="R80:R85" si="189">(Q80*100)/D80</f>
        <v>78.627450980392155</v>
      </c>
      <c r="S80" s="347">
        <f t="shared" ref="S80:S85" si="190">D80-Q80</f>
        <v>360.98235294117649</v>
      </c>
      <c r="T80" s="351">
        <f t="shared" ref="T80:T85" si="191">(S80*100)/D80</f>
        <v>21.372549019607845</v>
      </c>
      <c r="U80" s="355" t="s">
        <v>507</v>
      </c>
      <c r="V80" s="346"/>
    </row>
    <row r="81" spans="1:22" x14ac:dyDescent="0.25">
      <c r="A81" s="542"/>
      <c r="B81" s="387">
        <v>2</v>
      </c>
      <c r="C81" s="388" t="s">
        <v>1042</v>
      </c>
      <c r="D81" s="363">
        <v>1330</v>
      </c>
      <c r="E81" s="363">
        <v>439.18032786885243</v>
      </c>
      <c r="F81" s="349">
        <f t="shared" si="183"/>
        <v>33.021077283372364</v>
      </c>
      <c r="G81" s="369">
        <v>0</v>
      </c>
      <c r="H81" s="351">
        <f t="shared" si="184"/>
        <v>0</v>
      </c>
      <c r="I81" s="365">
        <v>685.2459016393442</v>
      </c>
      <c r="J81" s="351">
        <f t="shared" si="185"/>
        <v>51.522248243559716</v>
      </c>
      <c r="K81" s="363">
        <v>0</v>
      </c>
      <c r="L81" s="351">
        <f t="shared" si="186"/>
        <v>0</v>
      </c>
      <c r="M81" s="363">
        <v>0</v>
      </c>
      <c r="N81" s="349">
        <f t="shared" ref="N81:N85" si="192">(M81*100)/D81</f>
        <v>0</v>
      </c>
      <c r="O81" s="365">
        <v>0</v>
      </c>
      <c r="P81" s="351">
        <f t="shared" si="187"/>
        <v>0</v>
      </c>
      <c r="Q81" s="347">
        <f t="shared" si="188"/>
        <v>1124.4262295081967</v>
      </c>
      <c r="R81" s="351">
        <f t="shared" si="189"/>
        <v>84.54332552693208</v>
      </c>
      <c r="S81" s="347">
        <f t="shared" si="190"/>
        <v>205.57377049180332</v>
      </c>
      <c r="T81" s="351">
        <f t="shared" si="191"/>
        <v>15.456674473067917</v>
      </c>
      <c r="U81" s="355" t="s">
        <v>507</v>
      </c>
      <c r="V81" s="346"/>
    </row>
    <row r="82" spans="1:22" x14ac:dyDescent="0.25">
      <c r="A82" s="542"/>
      <c r="B82" s="387">
        <v>3</v>
      </c>
      <c r="C82" s="388" t="s">
        <v>1043</v>
      </c>
      <c r="D82" s="363">
        <v>3109</v>
      </c>
      <c r="E82" s="363">
        <v>1056.1674641148325</v>
      </c>
      <c r="F82" s="349">
        <f t="shared" si="183"/>
        <v>33.971291866028707</v>
      </c>
      <c r="G82" s="369">
        <v>0</v>
      </c>
      <c r="H82" s="351">
        <f t="shared" si="184"/>
        <v>0</v>
      </c>
      <c r="I82" s="365">
        <v>862.78468899521533</v>
      </c>
      <c r="J82" s="351">
        <f t="shared" si="185"/>
        <v>27.751196172248807</v>
      </c>
      <c r="K82" s="363">
        <v>319.82535885167465</v>
      </c>
      <c r="L82" s="351">
        <f t="shared" si="186"/>
        <v>10.287081339712918</v>
      </c>
      <c r="M82" s="363">
        <v>0</v>
      </c>
      <c r="N82" s="349">
        <f t="shared" si="192"/>
        <v>0</v>
      </c>
      <c r="O82" s="365">
        <v>0</v>
      </c>
      <c r="P82" s="351">
        <f t="shared" si="187"/>
        <v>0</v>
      </c>
      <c r="Q82" s="347">
        <f t="shared" si="188"/>
        <v>2238.7775119617227</v>
      </c>
      <c r="R82" s="351">
        <f t="shared" si="189"/>
        <v>72.009569377990431</v>
      </c>
      <c r="S82" s="347">
        <f t="shared" si="190"/>
        <v>870.22248803827733</v>
      </c>
      <c r="T82" s="351">
        <f t="shared" si="191"/>
        <v>27.990430622009566</v>
      </c>
      <c r="U82" s="355" t="s">
        <v>507</v>
      </c>
      <c r="V82" s="346"/>
    </row>
    <row r="83" spans="1:22" x14ac:dyDescent="0.25">
      <c r="A83" s="542"/>
      <c r="B83" s="387">
        <v>4</v>
      </c>
      <c r="C83" s="388" t="s">
        <v>1027</v>
      </c>
      <c r="D83" s="363">
        <v>1428</v>
      </c>
      <c r="E83" s="363">
        <v>444.78688524590166</v>
      </c>
      <c r="F83" s="349">
        <f t="shared" si="183"/>
        <v>31.147540983606557</v>
      </c>
      <c r="G83" s="369">
        <v>0</v>
      </c>
      <c r="H83" s="351">
        <f t="shared" si="184"/>
        <v>0</v>
      </c>
      <c r="I83" s="365">
        <v>745.77049180327867</v>
      </c>
      <c r="J83" s="351">
        <f t="shared" si="185"/>
        <v>52.224824355971897</v>
      </c>
      <c r="K83" s="363">
        <v>0</v>
      </c>
      <c r="L83" s="351">
        <f t="shared" si="186"/>
        <v>0</v>
      </c>
      <c r="M83" s="363">
        <v>0</v>
      </c>
      <c r="N83" s="349">
        <f t="shared" si="192"/>
        <v>0</v>
      </c>
      <c r="O83" s="365">
        <v>0</v>
      </c>
      <c r="P83" s="351">
        <f t="shared" si="187"/>
        <v>0</v>
      </c>
      <c r="Q83" s="347">
        <f t="shared" si="188"/>
        <v>1190.5573770491803</v>
      </c>
      <c r="R83" s="351">
        <f t="shared" si="189"/>
        <v>83.372365339578451</v>
      </c>
      <c r="S83" s="347">
        <f t="shared" si="190"/>
        <v>237.44262295081967</v>
      </c>
      <c r="T83" s="351">
        <f t="shared" si="191"/>
        <v>16.627634660421545</v>
      </c>
      <c r="U83" s="355" t="s">
        <v>507</v>
      </c>
      <c r="V83" s="346"/>
    </row>
    <row r="84" spans="1:22" x14ac:dyDescent="0.25">
      <c r="A84" s="542"/>
      <c r="B84" s="387">
        <v>5</v>
      </c>
      <c r="C84" s="388" t="s">
        <v>1044</v>
      </c>
      <c r="D84" s="363">
        <v>1603</v>
      </c>
      <c r="E84" s="363">
        <v>351.56338028169017</v>
      </c>
      <c r="F84" s="349">
        <f t="shared" si="183"/>
        <v>21.931589537223342</v>
      </c>
      <c r="G84" s="369">
        <v>0</v>
      </c>
      <c r="H84" s="351">
        <f t="shared" si="184"/>
        <v>0</v>
      </c>
      <c r="I84" s="365">
        <v>716.02816901408448</v>
      </c>
      <c r="J84" s="351">
        <f t="shared" si="185"/>
        <v>44.668008048289735</v>
      </c>
      <c r="K84" s="363">
        <v>370.91549295774649</v>
      </c>
      <c r="L84" s="351">
        <f t="shared" si="186"/>
        <v>23.138832997987926</v>
      </c>
      <c r="M84" s="363">
        <v>0</v>
      </c>
      <c r="N84" s="349">
        <f t="shared" si="192"/>
        <v>0</v>
      </c>
      <c r="O84" s="365">
        <v>0</v>
      </c>
      <c r="P84" s="351">
        <f t="shared" si="187"/>
        <v>0</v>
      </c>
      <c r="Q84" s="347">
        <f t="shared" si="188"/>
        <v>1438.5070422535211</v>
      </c>
      <c r="R84" s="351">
        <f t="shared" si="189"/>
        <v>89.738430583501014</v>
      </c>
      <c r="S84" s="347">
        <f t="shared" si="190"/>
        <v>164.49295774647885</v>
      </c>
      <c r="T84" s="351">
        <f t="shared" si="191"/>
        <v>10.261569416498993</v>
      </c>
      <c r="U84" s="355" t="s">
        <v>507</v>
      </c>
      <c r="V84" s="346"/>
    </row>
    <row r="85" spans="1:22" x14ac:dyDescent="0.25">
      <c r="A85" s="542"/>
      <c r="B85" s="387">
        <v>6</v>
      </c>
      <c r="C85" s="388" t="s">
        <v>1045</v>
      </c>
      <c r="D85" s="363">
        <v>1551</v>
      </c>
      <c r="E85" s="363">
        <v>190.66666666666666</v>
      </c>
      <c r="F85" s="349">
        <f t="shared" si="183"/>
        <v>12.293144208037823</v>
      </c>
      <c r="G85" s="369">
        <v>0</v>
      </c>
      <c r="H85" s="351">
        <f t="shared" si="184"/>
        <v>0</v>
      </c>
      <c r="I85" s="365">
        <v>894.66666666666663</v>
      </c>
      <c r="J85" s="351">
        <f t="shared" si="185"/>
        <v>57.683215130023633</v>
      </c>
      <c r="K85" s="363">
        <v>154</v>
      </c>
      <c r="L85" s="351">
        <f t="shared" si="186"/>
        <v>9.9290780141843964</v>
      </c>
      <c r="M85" s="363">
        <v>0</v>
      </c>
      <c r="N85" s="349">
        <f t="shared" si="192"/>
        <v>0</v>
      </c>
      <c r="O85" s="365">
        <v>0</v>
      </c>
      <c r="P85" s="351">
        <f t="shared" si="187"/>
        <v>0</v>
      </c>
      <c r="Q85" s="347">
        <f t="shared" si="188"/>
        <v>1239.3333333333333</v>
      </c>
      <c r="R85" s="351">
        <f t="shared" si="189"/>
        <v>79.905437352245855</v>
      </c>
      <c r="S85" s="347">
        <f t="shared" si="190"/>
        <v>311.66666666666674</v>
      </c>
      <c r="T85" s="351">
        <f t="shared" si="191"/>
        <v>20.094562647754142</v>
      </c>
      <c r="U85" s="355" t="s">
        <v>507</v>
      </c>
      <c r="V85" s="346"/>
    </row>
    <row r="86" spans="1:22" s="367" customFormat="1" x14ac:dyDescent="0.25">
      <c r="A86" s="542"/>
      <c r="B86" s="545" t="s">
        <v>23</v>
      </c>
      <c r="C86" s="545"/>
      <c r="D86" s="379">
        <f>SUM(D80:D85)</f>
        <v>10710</v>
      </c>
      <c r="E86" s="371">
        <f>SUM(E80:E85)</f>
        <v>3081.7941359426491</v>
      </c>
      <c r="F86" s="372">
        <f>SUM(F80:F85)/6</f>
        <v>27.975806659450029</v>
      </c>
      <c r="G86" s="371">
        <f t="shared" ref="G86" si="193">SUM(G80:G85)</f>
        <v>0</v>
      </c>
      <c r="H86" s="372">
        <f t="shared" ref="H86" si="194">SUM(H80:H85)/6</f>
        <v>0</v>
      </c>
      <c r="I86" s="371">
        <f t="shared" ref="I86" si="195">SUM(I80:I85)</f>
        <v>4633.0841534127067</v>
      </c>
      <c r="J86" s="372">
        <f t="shared" ref="J86" si="196">SUM(J80:J85)/6</f>
        <v>46.164457808675763</v>
      </c>
      <c r="K86" s="371">
        <f t="shared" ref="K86" si="197">SUM(K80:K85)</f>
        <v>844.7408518094212</v>
      </c>
      <c r="L86" s="372">
        <f t="shared" ref="L86" si="198">SUM(L80:L85)/6</f>
        <v>7.2258320586475406</v>
      </c>
      <c r="M86" s="371">
        <f t="shared" ref="M86" si="199">SUM(M80:M85)</f>
        <v>0</v>
      </c>
      <c r="N86" s="372">
        <f t="shared" ref="N86" si="200">SUM(N80:N85)/6</f>
        <v>0</v>
      </c>
      <c r="O86" s="371">
        <f t="shared" ref="O86" si="201">SUM(O80:O85)</f>
        <v>0</v>
      </c>
      <c r="P86" s="372">
        <f t="shared" ref="P86" si="202">SUM(P80:P85)/6</f>
        <v>0</v>
      </c>
      <c r="Q86" s="371">
        <f t="shared" ref="Q86" si="203">SUM(Q80:Q85)</f>
        <v>8559.6191411647778</v>
      </c>
      <c r="R86" s="372">
        <f t="shared" ref="R86" si="204">SUM(R80:R85)/6</f>
        <v>81.366096526773333</v>
      </c>
      <c r="S86" s="371">
        <f t="shared" ref="S86" si="205">SUM(S80:S85)</f>
        <v>2150.3808588352222</v>
      </c>
      <c r="T86" s="372">
        <f t="shared" ref="T86" si="206">SUM(T80:T85)/6</f>
        <v>18.63390347322667</v>
      </c>
      <c r="U86" s="379"/>
      <c r="V86" s="376"/>
    </row>
    <row r="87" spans="1:22" x14ac:dyDescent="0.25">
      <c r="A87" s="542">
        <v>10</v>
      </c>
      <c r="B87" s="549" t="s">
        <v>1046</v>
      </c>
      <c r="C87" s="549"/>
      <c r="D87" s="359"/>
      <c r="E87" s="359"/>
      <c r="F87" s="360"/>
      <c r="G87" s="359"/>
      <c r="H87" s="360"/>
      <c r="I87" s="359"/>
      <c r="J87" s="360"/>
      <c r="K87" s="359"/>
      <c r="L87" s="360"/>
      <c r="M87" s="359"/>
      <c r="N87" s="360"/>
      <c r="O87" s="359"/>
      <c r="P87" s="360"/>
      <c r="Q87" s="359"/>
      <c r="R87" s="359"/>
      <c r="S87" s="359"/>
      <c r="T87" s="360"/>
      <c r="U87" s="361"/>
      <c r="V87" s="361"/>
    </row>
    <row r="88" spans="1:22" x14ac:dyDescent="0.25">
      <c r="A88" s="542"/>
      <c r="B88" s="389">
        <v>1</v>
      </c>
      <c r="C88" s="390" t="s">
        <v>1047</v>
      </c>
      <c r="D88" s="363">
        <v>1467</v>
      </c>
      <c r="E88" s="363">
        <v>0</v>
      </c>
      <c r="F88" s="349">
        <f t="shared" ref="F88:F99" si="207">(E88*100)/D88</f>
        <v>0</v>
      </c>
      <c r="G88" s="369">
        <v>235.44444444444446</v>
      </c>
      <c r="H88" s="351">
        <f t="shared" ref="H88:H99" si="208">(G88*100)/D88</f>
        <v>16.049382716049383</v>
      </c>
      <c r="I88" s="365">
        <v>905.55555555555554</v>
      </c>
      <c r="J88" s="351">
        <f t="shared" ref="J88:J99" si="209">(I88*100)/D88</f>
        <v>61.728395061728392</v>
      </c>
      <c r="K88" s="363">
        <v>86.933333333333337</v>
      </c>
      <c r="L88" s="351">
        <f t="shared" ref="L88:L99" si="210">(K88*100)/D88</f>
        <v>5.9259259259259265</v>
      </c>
      <c r="M88" s="363">
        <v>0</v>
      </c>
      <c r="N88" s="349">
        <f>(M88*100)/D88</f>
        <v>0</v>
      </c>
      <c r="O88" s="365">
        <v>0</v>
      </c>
      <c r="P88" s="351">
        <f t="shared" ref="P88:P99" si="211">(O88*100)/D88</f>
        <v>0</v>
      </c>
      <c r="Q88" s="347">
        <f t="shared" ref="Q88:Q99" si="212">O88+M88+K88+I88+G88+E88</f>
        <v>1227.9333333333334</v>
      </c>
      <c r="R88" s="351">
        <f t="shared" ref="R88:R99" si="213">(Q88*100)/D88</f>
        <v>83.703703703703709</v>
      </c>
      <c r="S88" s="347">
        <f t="shared" ref="S88:S99" si="214">D88-Q88</f>
        <v>239.06666666666661</v>
      </c>
      <c r="T88" s="351">
        <f t="shared" ref="T88:T99" si="215">(S88*100)/D88</f>
        <v>16.296296296296291</v>
      </c>
      <c r="U88" s="355" t="s">
        <v>507</v>
      </c>
      <c r="V88" s="346"/>
    </row>
    <row r="89" spans="1:22" x14ac:dyDescent="0.25">
      <c r="A89" s="542"/>
      <c r="B89" s="389">
        <v>2</v>
      </c>
      <c r="C89" s="390" t="s">
        <v>1048</v>
      </c>
      <c r="D89" s="363">
        <v>1759</v>
      </c>
      <c r="E89" s="363">
        <v>0</v>
      </c>
      <c r="F89" s="349">
        <f t="shared" si="207"/>
        <v>0</v>
      </c>
      <c r="G89" s="369">
        <v>105.11952191235059</v>
      </c>
      <c r="H89" s="351">
        <f t="shared" si="208"/>
        <v>5.9760956175298805</v>
      </c>
      <c r="I89" s="365">
        <v>1033.6752988047808</v>
      </c>
      <c r="J89" s="351">
        <f t="shared" si="209"/>
        <v>58.764940239043817</v>
      </c>
      <c r="K89" s="363">
        <v>0</v>
      </c>
      <c r="L89" s="351">
        <f t="shared" si="210"/>
        <v>0</v>
      </c>
      <c r="M89" s="363">
        <v>140.15936254980079</v>
      </c>
      <c r="N89" s="349">
        <f t="shared" ref="N89:N99" si="216">(M89*100)/D89</f>
        <v>7.9681274900398407</v>
      </c>
      <c r="O89" s="365">
        <v>0</v>
      </c>
      <c r="P89" s="351">
        <f t="shared" si="211"/>
        <v>0</v>
      </c>
      <c r="Q89" s="347">
        <f t="shared" si="212"/>
        <v>1278.9541832669322</v>
      </c>
      <c r="R89" s="351">
        <f t="shared" si="213"/>
        <v>72.709163346613551</v>
      </c>
      <c r="S89" s="347">
        <f t="shared" si="214"/>
        <v>480.0458167330678</v>
      </c>
      <c r="T89" s="351">
        <f t="shared" si="215"/>
        <v>27.290836653386457</v>
      </c>
      <c r="U89" s="355" t="s">
        <v>507</v>
      </c>
      <c r="V89" s="346"/>
    </row>
    <row r="90" spans="1:22" x14ac:dyDescent="0.25">
      <c r="A90" s="542"/>
      <c r="B90" s="389">
        <v>3</v>
      </c>
      <c r="C90" s="390" t="s">
        <v>1049</v>
      </c>
      <c r="D90" s="363">
        <v>1335</v>
      </c>
      <c r="E90" s="363">
        <v>0</v>
      </c>
      <c r="F90" s="349">
        <f t="shared" si="207"/>
        <v>0</v>
      </c>
      <c r="G90" s="369">
        <v>854.83651226158031</v>
      </c>
      <c r="H90" s="351">
        <f t="shared" si="208"/>
        <v>64.032697547683924</v>
      </c>
      <c r="I90" s="365">
        <v>432.87465940054494</v>
      </c>
      <c r="J90" s="351">
        <f t="shared" si="209"/>
        <v>32.425068119891002</v>
      </c>
      <c r="K90" s="363">
        <v>0</v>
      </c>
      <c r="L90" s="351">
        <f t="shared" si="210"/>
        <v>0</v>
      </c>
      <c r="M90" s="363">
        <v>0</v>
      </c>
      <c r="N90" s="349">
        <f t="shared" si="216"/>
        <v>0</v>
      </c>
      <c r="O90" s="365">
        <v>0</v>
      </c>
      <c r="P90" s="351">
        <f t="shared" si="211"/>
        <v>0</v>
      </c>
      <c r="Q90" s="347">
        <f t="shared" si="212"/>
        <v>1287.7111716621253</v>
      </c>
      <c r="R90" s="351">
        <f t="shared" si="213"/>
        <v>96.457765667574932</v>
      </c>
      <c r="S90" s="347">
        <f t="shared" si="214"/>
        <v>47.288828337874747</v>
      </c>
      <c r="T90" s="351">
        <f t="shared" si="215"/>
        <v>3.5422343324250747</v>
      </c>
      <c r="U90" s="355" t="s">
        <v>507</v>
      </c>
      <c r="V90" s="346"/>
    </row>
    <row r="91" spans="1:22" x14ac:dyDescent="0.25">
      <c r="A91" s="542"/>
      <c r="B91" s="389">
        <v>4</v>
      </c>
      <c r="C91" s="390" t="s">
        <v>1050</v>
      </c>
      <c r="D91" s="363">
        <v>3225</v>
      </c>
      <c r="E91" s="363">
        <v>0</v>
      </c>
      <c r="F91" s="349">
        <f t="shared" si="207"/>
        <v>0</v>
      </c>
      <c r="G91" s="369">
        <v>0</v>
      </c>
      <c r="H91" s="351">
        <f t="shared" si="208"/>
        <v>0</v>
      </c>
      <c r="I91" s="365">
        <v>2324.6567505720823</v>
      </c>
      <c r="J91" s="351">
        <f t="shared" si="209"/>
        <v>72.082379862700222</v>
      </c>
      <c r="K91" s="363">
        <v>0</v>
      </c>
      <c r="L91" s="351">
        <f t="shared" si="210"/>
        <v>0</v>
      </c>
      <c r="M91" s="363">
        <v>0</v>
      </c>
      <c r="N91" s="349">
        <f t="shared" si="216"/>
        <v>0</v>
      </c>
      <c r="O91" s="365">
        <v>0</v>
      </c>
      <c r="P91" s="351">
        <f t="shared" si="211"/>
        <v>0</v>
      </c>
      <c r="Q91" s="347">
        <f t="shared" si="212"/>
        <v>2324.6567505720823</v>
      </c>
      <c r="R91" s="351">
        <f t="shared" si="213"/>
        <v>72.082379862700222</v>
      </c>
      <c r="S91" s="347">
        <f t="shared" si="214"/>
        <v>900.34324942791773</v>
      </c>
      <c r="T91" s="351">
        <f t="shared" si="215"/>
        <v>27.917620137299775</v>
      </c>
      <c r="U91" s="355" t="s">
        <v>507</v>
      </c>
      <c r="V91" s="346"/>
    </row>
    <row r="92" spans="1:22" x14ac:dyDescent="0.25">
      <c r="A92" s="542"/>
      <c r="B92" s="389">
        <v>5</v>
      </c>
      <c r="C92" s="390" t="s">
        <v>1051</v>
      </c>
      <c r="D92" s="363">
        <v>2084</v>
      </c>
      <c r="E92" s="363">
        <v>0</v>
      </c>
      <c r="F92" s="349">
        <f t="shared" si="207"/>
        <v>0</v>
      </c>
      <c r="G92" s="369">
        <v>331.62479061976546</v>
      </c>
      <c r="H92" s="351">
        <f t="shared" si="208"/>
        <v>15.91289782244556</v>
      </c>
      <c r="I92" s="365">
        <v>1371.8793969849246</v>
      </c>
      <c r="J92" s="351">
        <f t="shared" si="209"/>
        <v>65.829145728643212</v>
      </c>
      <c r="K92" s="363">
        <v>0</v>
      </c>
      <c r="L92" s="351">
        <f t="shared" si="210"/>
        <v>0</v>
      </c>
      <c r="M92" s="363">
        <v>139.63149078726968</v>
      </c>
      <c r="N92" s="349">
        <f t="shared" si="216"/>
        <v>6.700167504187605</v>
      </c>
      <c r="O92" s="365">
        <v>0</v>
      </c>
      <c r="P92" s="351">
        <f t="shared" si="211"/>
        <v>0</v>
      </c>
      <c r="Q92" s="347">
        <f t="shared" si="212"/>
        <v>1843.1356783919598</v>
      </c>
      <c r="R92" s="351">
        <f t="shared" si="213"/>
        <v>88.442211055276388</v>
      </c>
      <c r="S92" s="347">
        <f t="shared" si="214"/>
        <v>240.8643216080402</v>
      </c>
      <c r="T92" s="351">
        <f t="shared" si="215"/>
        <v>11.557788944723617</v>
      </c>
      <c r="U92" s="355" t="s">
        <v>507</v>
      </c>
      <c r="V92" s="346"/>
    </row>
    <row r="93" spans="1:22" x14ac:dyDescent="0.25">
      <c r="A93" s="542"/>
      <c r="B93" s="389">
        <v>6</v>
      </c>
      <c r="C93" s="390" t="s">
        <v>1052</v>
      </c>
      <c r="D93" s="363">
        <v>1718</v>
      </c>
      <c r="E93" s="363">
        <v>0</v>
      </c>
      <c r="F93" s="349">
        <f t="shared" si="207"/>
        <v>0</v>
      </c>
      <c r="G93" s="369">
        <v>0</v>
      </c>
      <c r="H93" s="351">
        <f t="shared" si="208"/>
        <v>0</v>
      </c>
      <c r="I93" s="365">
        <v>1211.7452471482889</v>
      </c>
      <c r="J93" s="351">
        <f t="shared" si="209"/>
        <v>70.532319391634971</v>
      </c>
      <c r="K93" s="363">
        <v>0</v>
      </c>
      <c r="L93" s="351">
        <f t="shared" si="210"/>
        <v>0</v>
      </c>
      <c r="M93" s="363">
        <v>0</v>
      </c>
      <c r="N93" s="349">
        <f t="shared" si="216"/>
        <v>0</v>
      </c>
      <c r="O93" s="365">
        <v>0</v>
      </c>
      <c r="P93" s="351">
        <f t="shared" si="211"/>
        <v>0</v>
      </c>
      <c r="Q93" s="347">
        <f t="shared" si="212"/>
        <v>1211.7452471482889</v>
      </c>
      <c r="R93" s="351">
        <f t="shared" si="213"/>
        <v>70.532319391634971</v>
      </c>
      <c r="S93" s="347">
        <f t="shared" si="214"/>
        <v>506.25475285171115</v>
      </c>
      <c r="T93" s="351">
        <f t="shared" si="215"/>
        <v>29.467680608365026</v>
      </c>
      <c r="U93" s="355" t="s">
        <v>507</v>
      </c>
      <c r="V93" s="346"/>
    </row>
    <row r="94" spans="1:22" x14ac:dyDescent="0.25">
      <c r="A94" s="542"/>
      <c r="B94" s="389">
        <v>7</v>
      </c>
      <c r="C94" s="390" t="s">
        <v>1053</v>
      </c>
      <c r="D94" s="363">
        <v>1573</v>
      </c>
      <c r="E94" s="363">
        <v>0</v>
      </c>
      <c r="F94" s="349">
        <f t="shared" si="207"/>
        <v>0</v>
      </c>
      <c r="G94" s="369">
        <v>0</v>
      </c>
      <c r="H94" s="351">
        <f t="shared" si="208"/>
        <v>0</v>
      </c>
      <c r="I94" s="365">
        <v>1082.1347517730496</v>
      </c>
      <c r="J94" s="351">
        <f t="shared" si="209"/>
        <v>68.794326241134755</v>
      </c>
      <c r="K94" s="363">
        <v>0</v>
      </c>
      <c r="L94" s="351">
        <f t="shared" si="210"/>
        <v>0</v>
      </c>
      <c r="M94" s="363">
        <v>74.373522458628841</v>
      </c>
      <c r="N94" s="349">
        <f t="shared" si="216"/>
        <v>4.7281323877068555</v>
      </c>
      <c r="O94" s="365">
        <v>0</v>
      </c>
      <c r="P94" s="351">
        <f t="shared" si="211"/>
        <v>0</v>
      </c>
      <c r="Q94" s="347">
        <f t="shared" si="212"/>
        <v>1156.5082742316786</v>
      </c>
      <c r="R94" s="351">
        <f t="shared" si="213"/>
        <v>73.522458628841605</v>
      </c>
      <c r="S94" s="347">
        <f t="shared" si="214"/>
        <v>416.49172576832143</v>
      </c>
      <c r="T94" s="351">
        <f t="shared" si="215"/>
        <v>26.477541371158384</v>
      </c>
      <c r="U94" s="355" t="s">
        <v>507</v>
      </c>
      <c r="V94" s="346"/>
    </row>
    <row r="95" spans="1:22" x14ac:dyDescent="0.25">
      <c r="A95" s="542"/>
      <c r="B95" s="389">
        <v>8</v>
      </c>
      <c r="C95" s="390" t="s">
        <v>1054</v>
      </c>
      <c r="D95" s="363">
        <v>2055</v>
      </c>
      <c r="E95" s="363">
        <v>0</v>
      </c>
      <c r="F95" s="349">
        <f t="shared" si="207"/>
        <v>0</v>
      </c>
      <c r="G95" s="369">
        <v>686.97406340057637</v>
      </c>
      <c r="H95" s="351">
        <f t="shared" si="208"/>
        <v>33.429394812680115</v>
      </c>
      <c r="I95" s="365">
        <v>1338.4149855907781</v>
      </c>
      <c r="J95" s="351">
        <f t="shared" si="209"/>
        <v>65.129682997118152</v>
      </c>
      <c r="K95" s="363">
        <v>0</v>
      </c>
      <c r="L95" s="351">
        <f t="shared" si="210"/>
        <v>0</v>
      </c>
      <c r="M95" s="363">
        <v>29.610951008645536</v>
      </c>
      <c r="N95" s="349">
        <f t="shared" si="216"/>
        <v>1.4409221902017291</v>
      </c>
      <c r="O95" s="365">
        <v>0</v>
      </c>
      <c r="P95" s="351">
        <f t="shared" si="211"/>
        <v>0</v>
      </c>
      <c r="Q95" s="347">
        <f t="shared" si="212"/>
        <v>2055</v>
      </c>
      <c r="R95" s="351">
        <f t="shared" si="213"/>
        <v>100</v>
      </c>
      <c r="S95" s="347">
        <f t="shared" si="214"/>
        <v>0</v>
      </c>
      <c r="T95" s="351">
        <f t="shared" si="215"/>
        <v>0</v>
      </c>
      <c r="U95" s="355" t="s">
        <v>507</v>
      </c>
      <c r="V95" s="346"/>
    </row>
    <row r="96" spans="1:22" x14ac:dyDescent="0.25">
      <c r="A96" s="542"/>
      <c r="B96" s="389">
        <v>9</v>
      </c>
      <c r="C96" s="390" t="s">
        <v>1055</v>
      </c>
      <c r="D96" s="363">
        <v>1940</v>
      </c>
      <c r="E96" s="363">
        <v>0</v>
      </c>
      <c r="F96" s="349">
        <f t="shared" si="207"/>
        <v>0</v>
      </c>
      <c r="G96" s="369">
        <v>0</v>
      </c>
      <c r="H96" s="351">
        <f t="shared" si="208"/>
        <v>0</v>
      </c>
      <c r="I96" s="365">
        <v>1618.4144144144143</v>
      </c>
      <c r="J96" s="351">
        <f t="shared" si="209"/>
        <v>83.423423423423415</v>
      </c>
      <c r="K96" s="363">
        <v>0</v>
      </c>
      <c r="L96" s="351">
        <f t="shared" si="210"/>
        <v>0</v>
      </c>
      <c r="M96" s="363">
        <v>0</v>
      </c>
      <c r="N96" s="349">
        <f t="shared" si="216"/>
        <v>0</v>
      </c>
      <c r="O96" s="365">
        <v>0</v>
      </c>
      <c r="P96" s="351">
        <f t="shared" si="211"/>
        <v>0</v>
      </c>
      <c r="Q96" s="347">
        <f t="shared" si="212"/>
        <v>1618.4144144144143</v>
      </c>
      <c r="R96" s="351">
        <f t="shared" si="213"/>
        <v>83.423423423423415</v>
      </c>
      <c r="S96" s="347">
        <f t="shared" si="214"/>
        <v>321.5855855855857</v>
      </c>
      <c r="T96" s="351">
        <f t="shared" si="215"/>
        <v>16.576576576576585</v>
      </c>
      <c r="U96" s="355" t="s">
        <v>507</v>
      </c>
      <c r="V96" s="346"/>
    </row>
    <row r="97" spans="1:22" x14ac:dyDescent="0.25">
      <c r="A97" s="542"/>
      <c r="B97" s="389">
        <v>10</v>
      </c>
      <c r="C97" s="390" t="s">
        <v>1056</v>
      </c>
      <c r="D97" s="363">
        <v>2299</v>
      </c>
      <c r="E97" s="363">
        <v>0</v>
      </c>
      <c r="F97" s="349">
        <f t="shared" si="207"/>
        <v>0</v>
      </c>
      <c r="G97" s="369">
        <v>562.34532374100718</v>
      </c>
      <c r="H97" s="351">
        <f t="shared" si="208"/>
        <v>24.460431654676256</v>
      </c>
      <c r="I97" s="365">
        <v>1386.0158273381294</v>
      </c>
      <c r="J97" s="351">
        <f t="shared" si="209"/>
        <v>60.28776978417266</v>
      </c>
      <c r="K97" s="363">
        <v>0</v>
      </c>
      <c r="L97" s="351">
        <f t="shared" si="210"/>
        <v>0</v>
      </c>
      <c r="M97" s="363">
        <v>205.09064748201439</v>
      </c>
      <c r="N97" s="349">
        <f t="shared" si="216"/>
        <v>8.9208633093525176</v>
      </c>
      <c r="O97" s="365">
        <v>0</v>
      </c>
      <c r="P97" s="351">
        <f t="shared" si="211"/>
        <v>0</v>
      </c>
      <c r="Q97" s="347">
        <f t="shared" si="212"/>
        <v>2153.451798561151</v>
      </c>
      <c r="R97" s="351">
        <f t="shared" si="213"/>
        <v>93.669064748201436</v>
      </c>
      <c r="S97" s="347">
        <f t="shared" si="214"/>
        <v>145.54820143884899</v>
      </c>
      <c r="T97" s="351">
        <f t="shared" si="215"/>
        <v>6.3309352517985644</v>
      </c>
      <c r="U97" s="355" t="s">
        <v>507</v>
      </c>
      <c r="V97" s="346"/>
    </row>
    <row r="98" spans="1:22" x14ac:dyDescent="0.25">
      <c r="A98" s="542"/>
      <c r="B98" s="389">
        <v>11</v>
      </c>
      <c r="C98" s="390" t="s">
        <v>1057</v>
      </c>
      <c r="D98" s="363">
        <v>1651</v>
      </c>
      <c r="E98" s="363">
        <v>0</v>
      </c>
      <c r="F98" s="349">
        <f t="shared" si="207"/>
        <v>0</v>
      </c>
      <c r="G98" s="369">
        <v>933.03006012024048</v>
      </c>
      <c r="H98" s="351">
        <f t="shared" si="208"/>
        <v>56.513026052104209</v>
      </c>
      <c r="I98" s="365">
        <v>618.71142284569135</v>
      </c>
      <c r="J98" s="351">
        <f t="shared" si="209"/>
        <v>37.474949899799597</v>
      </c>
      <c r="K98" s="363">
        <v>0</v>
      </c>
      <c r="L98" s="351">
        <f t="shared" si="210"/>
        <v>0</v>
      </c>
      <c r="M98" s="363">
        <v>16.54308617234469</v>
      </c>
      <c r="N98" s="349">
        <f t="shared" si="216"/>
        <v>1.0020040080160322</v>
      </c>
      <c r="O98" s="365">
        <v>0</v>
      </c>
      <c r="P98" s="351">
        <f t="shared" si="211"/>
        <v>0</v>
      </c>
      <c r="Q98" s="347">
        <f t="shared" si="212"/>
        <v>1568.2845691382765</v>
      </c>
      <c r="R98" s="351">
        <f t="shared" si="213"/>
        <v>94.989979959919836</v>
      </c>
      <c r="S98" s="347">
        <f t="shared" si="214"/>
        <v>82.715430861723462</v>
      </c>
      <c r="T98" s="351">
        <f t="shared" si="215"/>
        <v>5.0100200400801622</v>
      </c>
      <c r="U98" s="355" t="s">
        <v>507</v>
      </c>
      <c r="V98" s="346"/>
    </row>
    <row r="99" spans="1:22" x14ac:dyDescent="0.25">
      <c r="A99" s="542"/>
      <c r="B99" s="389">
        <v>12</v>
      </c>
      <c r="C99" s="390" t="s">
        <v>1058</v>
      </c>
      <c r="D99" s="363">
        <v>1038</v>
      </c>
      <c r="E99" s="363">
        <v>0</v>
      </c>
      <c r="F99" s="349">
        <f t="shared" si="207"/>
        <v>0</v>
      </c>
      <c r="G99" s="369">
        <v>242.2</v>
      </c>
      <c r="H99" s="351">
        <f t="shared" si="208"/>
        <v>23.333333333333332</v>
      </c>
      <c r="I99" s="365">
        <v>519</v>
      </c>
      <c r="J99" s="351">
        <f t="shared" si="209"/>
        <v>50</v>
      </c>
      <c r="K99" s="363">
        <v>0</v>
      </c>
      <c r="L99" s="351">
        <f t="shared" si="210"/>
        <v>0</v>
      </c>
      <c r="M99" s="363">
        <v>103.8</v>
      </c>
      <c r="N99" s="349">
        <f t="shared" si="216"/>
        <v>10</v>
      </c>
      <c r="O99" s="365">
        <v>0</v>
      </c>
      <c r="P99" s="351">
        <f t="shared" si="211"/>
        <v>0</v>
      </c>
      <c r="Q99" s="347">
        <f t="shared" si="212"/>
        <v>865</v>
      </c>
      <c r="R99" s="351">
        <f t="shared" si="213"/>
        <v>83.333333333333329</v>
      </c>
      <c r="S99" s="347">
        <f t="shared" si="214"/>
        <v>173</v>
      </c>
      <c r="T99" s="351">
        <f t="shared" si="215"/>
        <v>16.666666666666668</v>
      </c>
      <c r="U99" s="355" t="s">
        <v>507</v>
      </c>
      <c r="V99" s="346"/>
    </row>
    <row r="100" spans="1:22" x14ac:dyDescent="0.25">
      <c r="A100" s="542"/>
      <c r="B100" s="545" t="s">
        <v>23</v>
      </c>
      <c r="C100" s="545"/>
      <c r="D100" s="379">
        <f>SUM(D88:D99)</f>
        <v>22144</v>
      </c>
      <c r="E100" s="371">
        <f>SUM(E88:E99)</f>
        <v>0</v>
      </c>
      <c r="F100" s="372">
        <f>SUM(F88:F99)/12</f>
        <v>0</v>
      </c>
      <c r="G100" s="371">
        <f t="shared" ref="G100" si="217">SUM(G88:G99)</f>
        <v>3951.5747164999648</v>
      </c>
      <c r="H100" s="372">
        <f t="shared" ref="H100" si="218">SUM(H88:H99)/12</f>
        <v>19.975604963041889</v>
      </c>
      <c r="I100" s="371">
        <f t="shared" ref="I100" si="219">SUM(I88:I99)</f>
        <v>13843.07831042824</v>
      </c>
      <c r="J100" s="372">
        <f t="shared" ref="J100" si="220">SUM(J88:J99)/12</f>
        <v>60.539366729107513</v>
      </c>
      <c r="K100" s="371">
        <f t="shared" ref="K100" si="221">SUM(K88:K99)</f>
        <v>86.933333333333337</v>
      </c>
      <c r="L100" s="372">
        <f t="shared" ref="L100" si="222">SUM(L88:L99)/12</f>
        <v>0.49382716049382719</v>
      </c>
      <c r="M100" s="371">
        <f t="shared" ref="M100" si="223">SUM(M88:M99)</f>
        <v>709.2090604587039</v>
      </c>
      <c r="N100" s="372">
        <f t="shared" ref="N100" si="224">SUM(N88:N99)/12</f>
        <v>3.3966847407920482</v>
      </c>
      <c r="O100" s="371">
        <f t="shared" ref="O100" si="225">SUM(O88:O99)</f>
        <v>0</v>
      </c>
      <c r="P100" s="372">
        <f t="shared" ref="P100" si="226">SUM(P88:P99)/12</f>
        <v>0</v>
      </c>
      <c r="Q100" s="371">
        <f t="shared" ref="Q100" si="227">SUM(Q88:Q99)</f>
        <v>18590.795420720242</v>
      </c>
      <c r="R100" s="372">
        <f t="shared" ref="R100" si="228">SUM(R88:R99)/12</f>
        <v>84.405483593435292</v>
      </c>
      <c r="S100" s="371">
        <f t="shared" ref="S100" si="229">SUM(S88:S99)</f>
        <v>3553.204579279758</v>
      </c>
      <c r="T100" s="372">
        <f t="shared" ref="T100" si="230">SUM(T88:T99)/12</f>
        <v>15.594516406564717</v>
      </c>
      <c r="U100" s="379"/>
      <c r="V100" s="376"/>
    </row>
    <row r="101" spans="1:22" x14ac:dyDescent="0.25">
      <c r="A101" s="542">
        <v>11</v>
      </c>
      <c r="B101" s="549" t="s">
        <v>1059</v>
      </c>
      <c r="C101" s="549"/>
      <c r="D101" s="359"/>
      <c r="E101" s="359"/>
      <c r="F101" s="360"/>
      <c r="G101" s="359"/>
      <c r="H101" s="360"/>
      <c r="I101" s="359"/>
      <c r="J101" s="360"/>
      <c r="K101" s="359"/>
      <c r="L101" s="360"/>
      <c r="M101" s="359"/>
      <c r="N101" s="360"/>
      <c r="O101" s="359"/>
      <c r="P101" s="360"/>
      <c r="Q101" s="359"/>
      <c r="R101" s="359"/>
      <c r="S101" s="359"/>
      <c r="T101" s="360"/>
      <c r="U101" s="361"/>
      <c r="V101" s="361"/>
    </row>
    <row r="102" spans="1:22" x14ac:dyDescent="0.25">
      <c r="A102" s="542"/>
      <c r="B102" s="391">
        <v>1</v>
      </c>
      <c r="C102" s="392" t="s">
        <v>1060</v>
      </c>
      <c r="D102" s="363">
        <v>1524</v>
      </c>
      <c r="E102" s="363">
        <v>0</v>
      </c>
      <c r="F102" s="349">
        <f t="shared" ref="F102:F105" si="231">(E102*100)/D102</f>
        <v>0</v>
      </c>
      <c r="G102" s="369">
        <v>231.01357466063351</v>
      </c>
      <c r="H102" s="351">
        <f t="shared" ref="H102:H105" si="232">(G102*100)/D102</f>
        <v>15.158371040723983</v>
      </c>
      <c r="I102" s="365">
        <v>1182.6515837104073</v>
      </c>
      <c r="J102" s="351">
        <f t="shared" ref="J102:J105" si="233">(I102*100)/D102</f>
        <v>77.601809954751133</v>
      </c>
      <c r="K102" s="363">
        <v>0</v>
      </c>
      <c r="L102" s="351">
        <f t="shared" ref="L102:L105" si="234">(K102*100)/D102</f>
        <v>0</v>
      </c>
      <c r="M102" s="363">
        <v>0</v>
      </c>
      <c r="N102" s="349">
        <f>(M102*100)/D102</f>
        <v>0</v>
      </c>
      <c r="O102" s="365">
        <v>0</v>
      </c>
      <c r="P102" s="351">
        <f t="shared" ref="P102:P105" si="235">(O102*100)/D102</f>
        <v>0</v>
      </c>
      <c r="Q102" s="347">
        <f t="shared" ref="Q102:Q105" si="236">O102+M102+K102+I102+G102+E102</f>
        <v>1413.6651583710409</v>
      </c>
      <c r="R102" s="351">
        <f t="shared" ref="R102:R105" si="237">(Q102*100)/D102</f>
        <v>92.760180995475125</v>
      </c>
      <c r="S102" s="347">
        <f t="shared" ref="S102:S105" si="238">D102-Q102</f>
        <v>110.33484162895911</v>
      </c>
      <c r="T102" s="351">
        <f t="shared" ref="T102:T105" si="239">(S102*100)/D102</f>
        <v>7.2398190045248763</v>
      </c>
      <c r="U102" s="355" t="s">
        <v>507</v>
      </c>
      <c r="V102" s="346"/>
    </row>
    <row r="103" spans="1:22" x14ac:dyDescent="0.25">
      <c r="A103" s="542"/>
      <c r="B103" s="391">
        <v>2</v>
      </c>
      <c r="C103" s="392" t="s">
        <v>1059</v>
      </c>
      <c r="D103" s="363">
        <v>2462</v>
      </c>
      <c r="E103" s="363">
        <v>0</v>
      </c>
      <c r="F103" s="349">
        <f t="shared" si="231"/>
        <v>0</v>
      </c>
      <c r="G103" s="369">
        <v>423.63591022443893</v>
      </c>
      <c r="H103" s="351">
        <f t="shared" si="232"/>
        <v>17.206982543640898</v>
      </c>
      <c r="I103" s="365">
        <v>1602.4488778054863</v>
      </c>
      <c r="J103" s="351">
        <f t="shared" si="233"/>
        <v>65.087281795511217</v>
      </c>
      <c r="K103" s="363">
        <v>0</v>
      </c>
      <c r="L103" s="351">
        <f t="shared" si="234"/>
        <v>0</v>
      </c>
      <c r="M103" s="363">
        <v>0</v>
      </c>
      <c r="N103" s="349">
        <f t="shared" ref="N103:N105" si="240">(M103*100)/D103</f>
        <v>0</v>
      </c>
      <c r="O103" s="365">
        <v>0</v>
      </c>
      <c r="P103" s="351">
        <f t="shared" si="235"/>
        <v>0</v>
      </c>
      <c r="Q103" s="347">
        <f t="shared" si="236"/>
        <v>2026.0847880299252</v>
      </c>
      <c r="R103" s="351">
        <f t="shared" si="237"/>
        <v>82.294264339152122</v>
      </c>
      <c r="S103" s="347">
        <f t="shared" si="238"/>
        <v>435.91521197007478</v>
      </c>
      <c r="T103" s="351">
        <f t="shared" si="239"/>
        <v>17.705735660847878</v>
      </c>
      <c r="U103" s="355" t="s">
        <v>507</v>
      </c>
      <c r="V103" s="346"/>
    </row>
    <row r="104" spans="1:22" x14ac:dyDescent="0.25">
      <c r="A104" s="542"/>
      <c r="B104" s="391">
        <v>3</v>
      </c>
      <c r="C104" s="392" t="s">
        <v>1061</v>
      </c>
      <c r="D104" s="363">
        <v>1424</v>
      </c>
      <c r="E104" s="363">
        <v>0</v>
      </c>
      <c r="F104" s="349">
        <f t="shared" si="231"/>
        <v>0</v>
      </c>
      <c r="G104" s="369">
        <v>473.42408376963351</v>
      </c>
      <c r="H104" s="351">
        <f t="shared" si="232"/>
        <v>33.246073298429316</v>
      </c>
      <c r="I104" s="365">
        <v>775.37172774869111</v>
      </c>
      <c r="J104" s="351">
        <f t="shared" si="233"/>
        <v>54.450261780104711</v>
      </c>
      <c r="K104" s="363">
        <v>0</v>
      </c>
      <c r="L104" s="351">
        <f t="shared" si="234"/>
        <v>0</v>
      </c>
      <c r="M104" s="363">
        <v>0</v>
      </c>
      <c r="N104" s="349">
        <f t="shared" si="240"/>
        <v>0</v>
      </c>
      <c r="O104" s="365">
        <v>0</v>
      </c>
      <c r="P104" s="351">
        <f t="shared" si="235"/>
        <v>0</v>
      </c>
      <c r="Q104" s="347">
        <f t="shared" si="236"/>
        <v>1248.7958115183246</v>
      </c>
      <c r="R104" s="351">
        <f t="shared" si="237"/>
        <v>87.696335078534034</v>
      </c>
      <c r="S104" s="347">
        <f t="shared" si="238"/>
        <v>175.20418848167537</v>
      </c>
      <c r="T104" s="351">
        <f t="shared" si="239"/>
        <v>12.303664921465968</v>
      </c>
      <c r="U104" s="355" t="s">
        <v>507</v>
      </c>
      <c r="V104" s="346"/>
    </row>
    <row r="105" spans="1:22" x14ac:dyDescent="0.25">
      <c r="A105" s="542"/>
      <c r="B105" s="391">
        <v>4</v>
      </c>
      <c r="C105" s="392" t="s">
        <v>1062</v>
      </c>
      <c r="D105" s="363">
        <v>1029</v>
      </c>
      <c r="E105" s="363">
        <v>0</v>
      </c>
      <c r="F105" s="349">
        <f t="shared" si="231"/>
        <v>0</v>
      </c>
      <c r="G105" s="369">
        <v>460.81304347826085</v>
      </c>
      <c r="H105" s="351">
        <f t="shared" si="232"/>
        <v>44.782608695652172</v>
      </c>
      <c r="I105" s="365">
        <v>156.58695652173913</v>
      </c>
      <c r="J105" s="351">
        <f t="shared" si="233"/>
        <v>15.217391304347824</v>
      </c>
      <c r="K105" s="363">
        <v>0</v>
      </c>
      <c r="L105" s="351">
        <f t="shared" si="234"/>
        <v>0</v>
      </c>
      <c r="M105" s="363">
        <v>0</v>
      </c>
      <c r="N105" s="349">
        <f t="shared" si="240"/>
        <v>0</v>
      </c>
      <c r="O105" s="365">
        <v>375.80869565217387</v>
      </c>
      <c r="P105" s="351">
        <f t="shared" si="235"/>
        <v>36.521739130434774</v>
      </c>
      <c r="Q105" s="347">
        <f t="shared" si="236"/>
        <v>993.2086956521739</v>
      </c>
      <c r="R105" s="351">
        <f t="shared" si="237"/>
        <v>96.521739130434781</v>
      </c>
      <c r="S105" s="347">
        <f t="shared" si="238"/>
        <v>35.791304347826099</v>
      </c>
      <c r="T105" s="351">
        <f t="shared" si="239"/>
        <v>3.4782608695652186</v>
      </c>
      <c r="U105" s="355" t="s">
        <v>507</v>
      </c>
      <c r="V105" s="346"/>
    </row>
    <row r="106" spans="1:22" s="367" customFormat="1" x14ac:dyDescent="0.25">
      <c r="A106" s="542"/>
      <c r="B106" s="545" t="s">
        <v>23</v>
      </c>
      <c r="C106" s="545"/>
      <c r="D106" s="379">
        <f>SUM(D102:D105)</f>
        <v>6439</v>
      </c>
      <c r="E106" s="371">
        <f>SUM(E102:E105)</f>
        <v>0</v>
      </c>
      <c r="F106" s="372">
        <f>SUM(F102:F105)/4</f>
        <v>0</v>
      </c>
      <c r="G106" s="371">
        <f t="shared" ref="G106" si="241">SUM(G102:G105)</f>
        <v>1588.8866121329668</v>
      </c>
      <c r="H106" s="372">
        <f t="shared" ref="H106" si="242">SUM(H102:H105)/4</f>
        <v>27.598508894611594</v>
      </c>
      <c r="I106" s="371">
        <f t="shared" ref="I106" si="243">SUM(I102:I105)</f>
        <v>3717.0591457863238</v>
      </c>
      <c r="J106" s="372">
        <f t="shared" ref="J106" si="244">SUM(J102:J105)/4</f>
        <v>53.089186208678719</v>
      </c>
      <c r="K106" s="371">
        <f t="shared" ref="K106" si="245">SUM(K102:K105)</f>
        <v>0</v>
      </c>
      <c r="L106" s="372">
        <f t="shared" ref="L106" si="246">SUM(L102:L105)/4</f>
        <v>0</v>
      </c>
      <c r="M106" s="371">
        <f t="shared" ref="M106" si="247">SUM(M102:M105)</f>
        <v>0</v>
      </c>
      <c r="N106" s="372">
        <f t="shared" ref="N106" si="248">SUM(N102:N105)/4</f>
        <v>0</v>
      </c>
      <c r="O106" s="371">
        <f t="shared" ref="O106" si="249">SUM(O102:O105)</f>
        <v>375.80869565217387</v>
      </c>
      <c r="P106" s="372">
        <f t="shared" ref="P106" si="250">SUM(P102:P105)/4</f>
        <v>9.1304347826086936</v>
      </c>
      <c r="Q106" s="371">
        <f t="shared" ref="Q106" si="251">SUM(Q102:Q105)</f>
        <v>5681.7544535714642</v>
      </c>
      <c r="R106" s="372">
        <f t="shared" ref="R106" si="252">SUM(R102:R105)/4</f>
        <v>89.818129885899026</v>
      </c>
      <c r="S106" s="371">
        <f t="shared" ref="S106" si="253">SUM(S102:S105)</f>
        <v>757.24554642853536</v>
      </c>
      <c r="T106" s="372">
        <f t="shared" ref="T106" si="254">SUM(T102:T105)/4</f>
        <v>10.181870114100985</v>
      </c>
      <c r="U106" s="379"/>
      <c r="V106" s="376"/>
    </row>
    <row r="107" spans="1:22" x14ac:dyDescent="0.25">
      <c r="A107" s="542">
        <v>12</v>
      </c>
      <c r="B107" s="549" t="s">
        <v>1063</v>
      </c>
      <c r="C107" s="549"/>
      <c r="D107" s="359"/>
      <c r="E107" s="359"/>
      <c r="F107" s="360"/>
      <c r="G107" s="359"/>
      <c r="H107" s="360"/>
      <c r="I107" s="359"/>
      <c r="J107" s="360"/>
      <c r="K107" s="359"/>
      <c r="L107" s="360"/>
      <c r="M107" s="359"/>
      <c r="N107" s="360"/>
      <c r="O107" s="359"/>
      <c r="P107" s="360"/>
      <c r="Q107" s="359"/>
      <c r="R107" s="359"/>
      <c r="S107" s="359"/>
      <c r="T107" s="360"/>
      <c r="U107" s="361"/>
      <c r="V107" s="361"/>
    </row>
    <row r="108" spans="1:22" x14ac:dyDescent="0.25">
      <c r="A108" s="542"/>
      <c r="B108" s="393">
        <v>1</v>
      </c>
      <c r="C108" s="394" t="s">
        <v>1064</v>
      </c>
      <c r="D108" s="363">
        <v>1111</v>
      </c>
      <c r="E108" s="363">
        <v>0</v>
      </c>
      <c r="F108" s="349">
        <f t="shared" ref="F108:F112" si="255">(E108*100)/D108</f>
        <v>0</v>
      </c>
      <c r="G108" s="369">
        <v>784.66666666666663</v>
      </c>
      <c r="H108" s="351">
        <f t="shared" ref="H108:H112" si="256">(G108*100)/D108</f>
        <v>70.627062706270621</v>
      </c>
      <c r="I108" s="365">
        <v>176</v>
      </c>
      <c r="J108" s="351">
        <f t="shared" ref="J108:J112" si="257">(I108*100)/D108</f>
        <v>15.841584158415841</v>
      </c>
      <c r="K108" s="363">
        <v>0</v>
      </c>
      <c r="L108" s="351">
        <f t="shared" ref="L108:L112" si="258">(K108*100)/D108</f>
        <v>0</v>
      </c>
      <c r="M108" s="363">
        <v>0</v>
      </c>
      <c r="N108" s="349">
        <f>(M108*100)/D108</f>
        <v>0</v>
      </c>
      <c r="O108" s="365">
        <v>0</v>
      </c>
      <c r="P108" s="351">
        <f t="shared" ref="P108:P112" si="259">(O108*100)/D108</f>
        <v>0</v>
      </c>
      <c r="Q108" s="347">
        <f t="shared" ref="Q108:Q112" si="260">O108+M108+K108+I108+G108+E108</f>
        <v>960.66666666666663</v>
      </c>
      <c r="R108" s="351">
        <f t="shared" ref="R108:R112" si="261">(Q108*100)/D108</f>
        <v>86.468646864686463</v>
      </c>
      <c r="S108" s="351">
        <f t="shared" ref="S108:S112" si="262">D108-Q108</f>
        <v>150.33333333333337</v>
      </c>
      <c r="T108" s="351">
        <f t="shared" ref="T108:T112" si="263">(S108*100)/D108</f>
        <v>13.531353135313536</v>
      </c>
      <c r="U108" s="355" t="s">
        <v>507</v>
      </c>
      <c r="V108" s="346"/>
    </row>
    <row r="109" spans="1:22" x14ac:dyDescent="0.25">
      <c r="A109" s="542"/>
      <c r="B109" s="393">
        <v>2</v>
      </c>
      <c r="C109" s="394" t="s">
        <v>1065</v>
      </c>
      <c r="D109" s="363">
        <v>1447</v>
      </c>
      <c r="E109" s="363">
        <v>0</v>
      </c>
      <c r="F109" s="349">
        <f t="shared" si="255"/>
        <v>0</v>
      </c>
      <c r="G109" s="369">
        <v>405.43961352657004</v>
      </c>
      <c r="H109" s="351">
        <f t="shared" si="256"/>
        <v>28.019323671497585</v>
      </c>
      <c r="I109" s="365">
        <v>765.44202898550725</v>
      </c>
      <c r="J109" s="351">
        <f t="shared" si="257"/>
        <v>52.89855072463768</v>
      </c>
      <c r="K109" s="363">
        <v>20.971014492753625</v>
      </c>
      <c r="L109" s="351">
        <f t="shared" si="258"/>
        <v>1.4492753623188408</v>
      </c>
      <c r="M109" s="363">
        <v>0</v>
      </c>
      <c r="N109" s="349">
        <f t="shared" ref="N109:N112" si="264">(M109*100)/D109</f>
        <v>0</v>
      </c>
      <c r="O109" s="365">
        <v>0</v>
      </c>
      <c r="P109" s="351">
        <f t="shared" si="259"/>
        <v>0</v>
      </c>
      <c r="Q109" s="347">
        <f t="shared" si="260"/>
        <v>1191.8526570048309</v>
      </c>
      <c r="R109" s="351">
        <f t="shared" si="261"/>
        <v>82.367149758454104</v>
      </c>
      <c r="S109" s="351">
        <f t="shared" si="262"/>
        <v>255.14734299516908</v>
      </c>
      <c r="T109" s="351">
        <f t="shared" si="263"/>
        <v>17.632850241545896</v>
      </c>
      <c r="U109" s="355" t="s">
        <v>507</v>
      </c>
      <c r="V109" s="346"/>
    </row>
    <row r="110" spans="1:22" x14ac:dyDescent="0.25">
      <c r="A110" s="542"/>
      <c r="B110" s="393">
        <v>3</v>
      </c>
      <c r="C110" s="394" t="s">
        <v>1066</v>
      </c>
      <c r="D110" s="363">
        <v>664</v>
      </c>
      <c r="E110" s="363">
        <v>0</v>
      </c>
      <c r="F110" s="349">
        <f t="shared" si="255"/>
        <v>0</v>
      </c>
      <c r="G110" s="369">
        <v>321.17391304347825</v>
      </c>
      <c r="H110" s="351">
        <f t="shared" si="256"/>
        <v>48.369565217391305</v>
      </c>
      <c r="I110" s="365">
        <v>79.391304347826093</v>
      </c>
      <c r="J110" s="351">
        <f t="shared" si="257"/>
        <v>11.956521739130435</v>
      </c>
      <c r="K110" s="363">
        <v>0</v>
      </c>
      <c r="L110" s="351">
        <f t="shared" si="258"/>
        <v>0</v>
      </c>
      <c r="M110" s="363">
        <v>0</v>
      </c>
      <c r="N110" s="349">
        <f t="shared" si="264"/>
        <v>0</v>
      </c>
      <c r="O110" s="365">
        <v>0</v>
      </c>
      <c r="P110" s="351">
        <f t="shared" si="259"/>
        <v>0</v>
      </c>
      <c r="Q110" s="347">
        <f t="shared" si="260"/>
        <v>400.56521739130437</v>
      </c>
      <c r="R110" s="351">
        <f t="shared" si="261"/>
        <v>60.326086956521749</v>
      </c>
      <c r="S110" s="351">
        <f t="shared" si="262"/>
        <v>263.43478260869563</v>
      </c>
      <c r="T110" s="351">
        <f t="shared" si="263"/>
        <v>39.673913043478258</v>
      </c>
      <c r="U110" s="355" t="s">
        <v>507</v>
      </c>
      <c r="V110" s="346"/>
    </row>
    <row r="111" spans="1:22" x14ac:dyDescent="0.25">
      <c r="A111" s="542"/>
      <c r="B111" s="393">
        <v>4</v>
      </c>
      <c r="C111" s="394" t="s">
        <v>1063</v>
      </c>
      <c r="D111" s="363">
        <v>1717</v>
      </c>
      <c r="E111" s="363">
        <v>0</v>
      </c>
      <c r="F111" s="349">
        <f t="shared" si="255"/>
        <v>0</v>
      </c>
      <c r="G111" s="369">
        <v>850.32380952380947</v>
      </c>
      <c r="H111" s="351">
        <f t="shared" si="256"/>
        <v>49.523809523809518</v>
      </c>
      <c r="I111" s="365">
        <v>682.71190476190475</v>
      </c>
      <c r="J111" s="351">
        <f t="shared" si="257"/>
        <v>39.761904761904759</v>
      </c>
      <c r="K111" s="363">
        <v>36.792857142857137</v>
      </c>
      <c r="L111" s="351">
        <f t="shared" si="258"/>
        <v>2.1428571428571423</v>
      </c>
      <c r="M111" s="363">
        <v>0</v>
      </c>
      <c r="N111" s="349">
        <f t="shared" si="264"/>
        <v>0</v>
      </c>
      <c r="O111" s="365">
        <v>0</v>
      </c>
      <c r="P111" s="351">
        <f t="shared" si="259"/>
        <v>0</v>
      </c>
      <c r="Q111" s="347">
        <f t="shared" si="260"/>
        <v>1569.8285714285712</v>
      </c>
      <c r="R111" s="351">
        <f t="shared" si="261"/>
        <v>91.428571428571416</v>
      </c>
      <c r="S111" s="351">
        <f t="shared" si="262"/>
        <v>147.17142857142881</v>
      </c>
      <c r="T111" s="351">
        <f t="shared" si="263"/>
        <v>8.5714285714285854</v>
      </c>
      <c r="U111" s="355" t="s">
        <v>507</v>
      </c>
      <c r="V111" s="346"/>
    </row>
    <row r="112" spans="1:22" x14ac:dyDescent="0.25">
      <c r="A112" s="542"/>
      <c r="B112" s="393">
        <v>5</v>
      </c>
      <c r="C112" s="394" t="s">
        <v>1067</v>
      </c>
      <c r="D112" s="363">
        <v>769</v>
      </c>
      <c r="E112" s="363">
        <v>0</v>
      </c>
      <c r="F112" s="349">
        <f t="shared" si="255"/>
        <v>0</v>
      </c>
      <c r="G112" s="369">
        <v>575.93191489361698</v>
      </c>
      <c r="H112" s="351">
        <f t="shared" si="256"/>
        <v>74.893617021276597</v>
      </c>
      <c r="I112" s="365">
        <v>0</v>
      </c>
      <c r="J112" s="351">
        <f t="shared" si="257"/>
        <v>0</v>
      </c>
      <c r="K112" s="363">
        <v>0</v>
      </c>
      <c r="L112" s="351">
        <f t="shared" si="258"/>
        <v>0</v>
      </c>
      <c r="M112" s="363">
        <v>0</v>
      </c>
      <c r="N112" s="349">
        <f t="shared" si="264"/>
        <v>0</v>
      </c>
      <c r="O112" s="365">
        <v>0</v>
      </c>
      <c r="P112" s="351">
        <f t="shared" si="259"/>
        <v>0</v>
      </c>
      <c r="Q112" s="347">
        <f t="shared" si="260"/>
        <v>575.93191489361698</v>
      </c>
      <c r="R112" s="351">
        <f t="shared" si="261"/>
        <v>74.893617021276597</v>
      </c>
      <c r="S112" s="351">
        <f t="shared" si="262"/>
        <v>193.06808510638302</v>
      </c>
      <c r="T112" s="351">
        <f t="shared" si="263"/>
        <v>25.106382978723406</v>
      </c>
      <c r="U112" s="355" t="s">
        <v>507</v>
      </c>
      <c r="V112" s="346"/>
    </row>
    <row r="113" spans="1:22" s="367" customFormat="1" x14ac:dyDescent="0.25">
      <c r="A113" s="542"/>
      <c r="B113" s="545" t="s">
        <v>23</v>
      </c>
      <c r="C113" s="545"/>
      <c r="D113" s="379">
        <f>SUM(D108:D112)</f>
        <v>5708</v>
      </c>
      <c r="E113" s="371">
        <f>SUM(E108:E112)</f>
        <v>0</v>
      </c>
      <c r="F113" s="372">
        <f>SUM(F108:F112)/5</f>
        <v>0</v>
      </c>
      <c r="G113" s="371">
        <f t="shared" ref="G113" si="265">SUM(G108:G112)</f>
        <v>2937.5359176541415</v>
      </c>
      <c r="H113" s="372">
        <f t="shared" ref="H113" si="266">SUM(H108:H112)/5</f>
        <v>54.286675628049124</v>
      </c>
      <c r="I113" s="371">
        <f t="shared" ref="I113" si="267">SUM(I108:I112)</f>
        <v>1703.5452380952381</v>
      </c>
      <c r="J113" s="372">
        <f t="shared" ref="J113" si="268">SUM(J108:J112)/5</f>
        <v>24.091712276817741</v>
      </c>
      <c r="K113" s="371">
        <f t="shared" ref="K113" si="269">SUM(K108:K112)</f>
        <v>57.763871635610762</v>
      </c>
      <c r="L113" s="372">
        <f t="shared" ref="L113" si="270">SUM(L108:L112)/5</f>
        <v>0.71842650103519667</v>
      </c>
      <c r="M113" s="371">
        <f t="shared" ref="M113" si="271">SUM(M108:M112)</f>
        <v>0</v>
      </c>
      <c r="N113" s="372">
        <f t="shared" ref="N113" si="272">SUM(N108:N112)/5</f>
        <v>0</v>
      </c>
      <c r="O113" s="371">
        <f t="shared" ref="O113" si="273">SUM(O108:O112)</f>
        <v>0</v>
      </c>
      <c r="P113" s="372">
        <f t="shared" ref="P113" si="274">SUM(P108:P112)/5</f>
        <v>0</v>
      </c>
      <c r="Q113" s="371">
        <f t="shared" ref="Q113" si="275">SUM(Q108:Q112)</f>
        <v>4698.8450273849903</v>
      </c>
      <c r="R113" s="372">
        <f t="shared" ref="R113" si="276">SUM(R108:R112)/5</f>
        <v>79.096814405902066</v>
      </c>
      <c r="S113" s="371">
        <f t="shared" ref="S113" si="277">SUM(S108:S112)</f>
        <v>1009.1549726150099</v>
      </c>
      <c r="T113" s="372">
        <f t="shared" ref="T113" si="278">SUM(T108:T112)/5</f>
        <v>20.903185594097934</v>
      </c>
      <c r="U113" s="379"/>
      <c r="V113" s="376"/>
    </row>
    <row r="114" spans="1:22" x14ac:dyDescent="0.25">
      <c r="A114" s="542">
        <v>13</v>
      </c>
      <c r="B114" s="549" t="s">
        <v>1068</v>
      </c>
      <c r="C114" s="549"/>
      <c r="D114" s="359"/>
      <c r="E114" s="359"/>
      <c r="F114" s="360"/>
      <c r="G114" s="359"/>
      <c r="H114" s="360"/>
      <c r="I114" s="359"/>
      <c r="J114" s="360"/>
      <c r="K114" s="359"/>
      <c r="L114" s="360"/>
      <c r="M114" s="359"/>
      <c r="N114" s="360"/>
      <c r="O114" s="359"/>
      <c r="P114" s="360"/>
      <c r="Q114" s="359"/>
      <c r="R114" s="359"/>
      <c r="S114" s="359"/>
      <c r="T114" s="360"/>
      <c r="U114" s="361"/>
      <c r="V114" s="361"/>
    </row>
    <row r="115" spans="1:22" x14ac:dyDescent="0.25">
      <c r="A115" s="542"/>
      <c r="B115" s="395">
        <v>1</v>
      </c>
      <c r="C115" s="396" t="s">
        <v>1069</v>
      </c>
      <c r="D115" s="366">
        <v>3828</v>
      </c>
      <c r="E115" s="363">
        <v>0</v>
      </c>
      <c r="F115" s="349">
        <f t="shared" ref="F115:F121" si="279">(E115*100)/D115</f>
        <v>0</v>
      </c>
      <c r="G115" s="369">
        <v>0</v>
      </c>
      <c r="H115" s="351">
        <f t="shared" ref="H115:H121" si="280">(G115*100)/D115</f>
        <v>0</v>
      </c>
      <c r="I115" s="365">
        <v>2191.9405940594061</v>
      </c>
      <c r="J115" s="351">
        <f t="shared" ref="J115:J121" si="281">(I115*100)/D115</f>
        <v>57.260726072607262</v>
      </c>
      <c r="K115" s="363">
        <v>391.64356435643566</v>
      </c>
      <c r="L115" s="351">
        <f t="shared" ref="L115:L121" si="282">(K115*100)/D115</f>
        <v>10.231023102310232</v>
      </c>
      <c r="M115" s="363">
        <v>410.59405940594058</v>
      </c>
      <c r="N115" s="349">
        <f>(M115*100)/D115</f>
        <v>10.726072607260726</v>
      </c>
      <c r="O115" s="365">
        <v>0</v>
      </c>
      <c r="P115" s="351">
        <f t="shared" ref="P115:P121" si="283">(O115*100)/D115</f>
        <v>0</v>
      </c>
      <c r="Q115" s="347">
        <f t="shared" ref="Q115:Q121" si="284">O115+M115+K115+I115+G115+E115</f>
        <v>2994.1782178217823</v>
      </c>
      <c r="R115" s="351">
        <f t="shared" ref="R115:R121" si="285">(Q115*100)/D115</f>
        <v>78.21782178217822</v>
      </c>
      <c r="S115" s="347">
        <f t="shared" ref="S115:S121" si="286">D115-Q115</f>
        <v>833.82178217821775</v>
      </c>
      <c r="T115" s="351">
        <f t="shared" ref="T115:T121" si="287">(S115*100)/D115</f>
        <v>21.78217821782178</v>
      </c>
      <c r="U115" s="355" t="s">
        <v>507</v>
      </c>
      <c r="V115" s="346"/>
    </row>
    <row r="116" spans="1:22" x14ac:dyDescent="0.25">
      <c r="A116" s="542"/>
      <c r="B116" s="395">
        <v>2</v>
      </c>
      <c r="C116" s="396" t="s">
        <v>1070</v>
      </c>
      <c r="D116" s="366">
        <v>1396</v>
      </c>
      <c r="E116" s="363">
        <v>0</v>
      </c>
      <c r="F116" s="349">
        <f t="shared" si="279"/>
        <v>0</v>
      </c>
      <c r="G116" s="369">
        <v>0</v>
      </c>
      <c r="H116" s="351">
        <f t="shared" si="280"/>
        <v>0</v>
      </c>
      <c r="I116" s="365">
        <v>1032.4583333333333</v>
      </c>
      <c r="J116" s="351">
        <f t="shared" si="281"/>
        <v>73.958333333333329</v>
      </c>
      <c r="K116" s="363">
        <v>167.22916666666666</v>
      </c>
      <c r="L116" s="351">
        <f t="shared" si="282"/>
        <v>11.979166666666664</v>
      </c>
      <c r="M116" s="363">
        <v>0</v>
      </c>
      <c r="N116" s="349">
        <f t="shared" ref="N116:N121" si="288">(M116*100)/D116</f>
        <v>0</v>
      </c>
      <c r="O116" s="365">
        <v>7.270833333333333</v>
      </c>
      <c r="P116" s="351">
        <f t="shared" si="283"/>
        <v>0.52083333333333326</v>
      </c>
      <c r="Q116" s="347">
        <f t="shared" si="284"/>
        <v>1206.9583333333333</v>
      </c>
      <c r="R116" s="351">
        <f t="shared" si="285"/>
        <v>86.458333333333329</v>
      </c>
      <c r="S116" s="347">
        <f t="shared" si="286"/>
        <v>189.04166666666674</v>
      </c>
      <c r="T116" s="351">
        <f t="shared" si="287"/>
        <v>13.541666666666673</v>
      </c>
      <c r="U116" s="355" t="s">
        <v>507</v>
      </c>
      <c r="V116" s="346"/>
    </row>
    <row r="117" spans="1:22" x14ac:dyDescent="0.25">
      <c r="A117" s="542"/>
      <c r="B117" s="395">
        <v>3</v>
      </c>
      <c r="C117" s="396" t="s">
        <v>1071</v>
      </c>
      <c r="D117" s="366">
        <v>1446</v>
      </c>
      <c r="E117" s="363">
        <v>0</v>
      </c>
      <c r="F117" s="349">
        <f t="shared" si="279"/>
        <v>0</v>
      </c>
      <c r="G117" s="369">
        <v>0</v>
      </c>
      <c r="H117" s="351">
        <f t="shared" si="280"/>
        <v>0</v>
      </c>
      <c r="I117" s="365">
        <v>1189.3506493506493</v>
      </c>
      <c r="J117" s="351">
        <f t="shared" si="281"/>
        <v>82.251082251082252</v>
      </c>
      <c r="K117" s="363">
        <v>228.48051948051946</v>
      </c>
      <c r="L117" s="351">
        <f t="shared" si="282"/>
        <v>15.8008658008658</v>
      </c>
      <c r="M117" s="363">
        <v>0</v>
      </c>
      <c r="N117" s="349">
        <f t="shared" si="288"/>
        <v>0</v>
      </c>
      <c r="O117" s="365">
        <v>0</v>
      </c>
      <c r="P117" s="351">
        <f t="shared" si="283"/>
        <v>0</v>
      </c>
      <c r="Q117" s="347">
        <f t="shared" si="284"/>
        <v>1417.8311688311687</v>
      </c>
      <c r="R117" s="351">
        <f t="shared" si="285"/>
        <v>98.051948051948031</v>
      </c>
      <c r="S117" s="347">
        <f t="shared" si="286"/>
        <v>28.168831168831275</v>
      </c>
      <c r="T117" s="351">
        <f t="shared" si="287"/>
        <v>1.9480519480519554</v>
      </c>
      <c r="U117" s="355" t="s">
        <v>507</v>
      </c>
      <c r="V117" s="346"/>
    </row>
    <row r="118" spans="1:22" x14ac:dyDescent="0.25">
      <c r="A118" s="542"/>
      <c r="B118" s="395">
        <v>4</v>
      </c>
      <c r="C118" s="396" t="s">
        <v>1072</v>
      </c>
      <c r="D118" s="366">
        <v>3010</v>
      </c>
      <c r="E118" s="363">
        <v>0</v>
      </c>
      <c r="F118" s="349">
        <f t="shared" si="279"/>
        <v>0</v>
      </c>
      <c r="G118" s="369">
        <v>0</v>
      </c>
      <c r="H118" s="351">
        <f t="shared" si="280"/>
        <v>0</v>
      </c>
      <c r="I118" s="365">
        <v>2084.3177189409371</v>
      </c>
      <c r="J118" s="351">
        <f t="shared" si="281"/>
        <v>69.246435845213867</v>
      </c>
      <c r="K118" s="363">
        <v>236.01832993890022</v>
      </c>
      <c r="L118" s="351">
        <f t="shared" si="282"/>
        <v>7.8411405295315681</v>
      </c>
      <c r="M118" s="363">
        <v>217.62729124236253</v>
      </c>
      <c r="N118" s="349">
        <f t="shared" si="288"/>
        <v>7.2301425661914456</v>
      </c>
      <c r="O118" s="365">
        <v>0</v>
      </c>
      <c r="P118" s="351">
        <f t="shared" si="283"/>
        <v>0</v>
      </c>
      <c r="Q118" s="347">
        <f t="shared" si="284"/>
        <v>2537.9633401222</v>
      </c>
      <c r="R118" s="351">
        <f t="shared" si="285"/>
        <v>84.317718940936871</v>
      </c>
      <c r="S118" s="347">
        <f t="shared" si="286"/>
        <v>472.03665987780005</v>
      </c>
      <c r="T118" s="351">
        <f t="shared" si="287"/>
        <v>15.682281059063124</v>
      </c>
      <c r="U118" s="355" t="s">
        <v>507</v>
      </c>
      <c r="V118" s="346"/>
    </row>
    <row r="119" spans="1:22" x14ac:dyDescent="0.25">
      <c r="A119" s="542"/>
      <c r="B119" s="395">
        <v>5</v>
      </c>
      <c r="C119" s="396" t="s">
        <v>1073</v>
      </c>
      <c r="D119" s="366">
        <v>5140</v>
      </c>
      <c r="E119" s="363">
        <v>0</v>
      </c>
      <c r="F119" s="349">
        <f t="shared" si="279"/>
        <v>0</v>
      </c>
      <c r="G119" s="369">
        <v>0</v>
      </c>
      <c r="H119" s="351">
        <f t="shared" si="280"/>
        <v>0</v>
      </c>
      <c r="I119" s="365">
        <v>4012.7448275862071</v>
      </c>
      <c r="J119" s="351">
        <f t="shared" si="281"/>
        <v>78.068965517241381</v>
      </c>
      <c r="K119" s="363">
        <v>1095.3517241379311</v>
      </c>
      <c r="L119" s="351">
        <f t="shared" si="282"/>
        <v>21.31034482758621</v>
      </c>
      <c r="M119" s="363">
        <v>0</v>
      </c>
      <c r="N119" s="349">
        <f t="shared" si="288"/>
        <v>0</v>
      </c>
      <c r="O119" s="365">
        <v>0</v>
      </c>
      <c r="P119" s="351">
        <f t="shared" si="283"/>
        <v>0</v>
      </c>
      <c r="Q119" s="347">
        <f t="shared" si="284"/>
        <v>5108.0965517241384</v>
      </c>
      <c r="R119" s="351">
        <f t="shared" si="285"/>
        <v>99.379310344827601</v>
      </c>
      <c r="S119" s="347">
        <f t="shared" si="286"/>
        <v>31.903448275861592</v>
      </c>
      <c r="T119" s="351">
        <f t="shared" si="287"/>
        <v>0.62068965517240449</v>
      </c>
      <c r="U119" s="355" t="s">
        <v>507</v>
      </c>
      <c r="V119" s="346"/>
    </row>
    <row r="120" spans="1:22" x14ac:dyDescent="0.25">
      <c r="A120" s="542"/>
      <c r="B120" s="395">
        <v>6</v>
      </c>
      <c r="C120" s="396" t="s">
        <v>1074</v>
      </c>
      <c r="D120" s="366">
        <v>2872</v>
      </c>
      <c r="E120" s="363">
        <v>0</v>
      </c>
      <c r="F120" s="349">
        <f t="shared" si="279"/>
        <v>0</v>
      </c>
      <c r="G120" s="369">
        <v>0</v>
      </c>
      <c r="H120" s="351">
        <f t="shared" si="280"/>
        <v>0</v>
      </c>
      <c r="I120" s="365">
        <v>2256.3579604578563</v>
      </c>
      <c r="J120" s="351">
        <f t="shared" si="281"/>
        <v>78.563995837669083</v>
      </c>
      <c r="K120" s="363">
        <v>406.44328824141519</v>
      </c>
      <c r="L120" s="351">
        <f t="shared" si="282"/>
        <v>14.151925078043705</v>
      </c>
      <c r="M120" s="363">
        <v>0</v>
      </c>
      <c r="N120" s="349">
        <f t="shared" si="288"/>
        <v>0</v>
      </c>
      <c r="O120" s="365">
        <v>0</v>
      </c>
      <c r="P120" s="351">
        <f t="shared" si="283"/>
        <v>0</v>
      </c>
      <c r="Q120" s="347">
        <f t="shared" si="284"/>
        <v>2662.8012486992716</v>
      </c>
      <c r="R120" s="351">
        <f t="shared" si="285"/>
        <v>92.7159209157128</v>
      </c>
      <c r="S120" s="347">
        <f t="shared" si="286"/>
        <v>209.19875130072842</v>
      </c>
      <c r="T120" s="351">
        <f t="shared" si="287"/>
        <v>7.2840790842872005</v>
      </c>
      <c r="U120" s="355" t="s">
        <v>507</v>
      </c>
      <c r="V120" s="346"/>
    </row>
    <row r="121" spans="1:22" x14ac:dyDescent="0.25">
      <c r="A121" s="542"/>
      <c r="B121" s="395">
        <v>7</v>
      </c>
      <c r="C121" s="396" t="s">
        <v>1075</v>
      </c>
      <c r="D121" s="366">
        <v>2905</v>
      </c>
      <c r="E121" s="363">
        <v>0</v>
      </c>
      <c r="F121" s="349">
        <f t="shared" si="279"/>
        <v>0</v>
      </c>
      <c r="G121" s="369">
        <v>115.27777777777777</v>
      </c>
      <c r="H121" s="351">
        <f t="shared" si="280"/>
        <v>3.9682539682539679</v>
      </c>
      <c r="I121" s="365">
        <v>2555.8730158730159</v>
      </c>
      <c r="J121" s="351">
        <f t="shared" si="281"/>
        <v>87.981859410430843</v>
      </c>
      <c r="K121" s="363">
        <v>125.15873015873015</v>
      </c>
      <c r="L121" s="351">
        <f t="shared" si="282"/>
        <v>4.308390022675737</v>
      </c>
      <c r="M121" s="363">
        <v>0</v>
      </c>
      <c r="N121" s="349">
        <f t="shared" si="288"/>
        <v>0</v>
      </c>
      <c r="O121" s="365">
        <v>0</v>
      </c>
      <c r="P121" s="351">
        <f t="shared" si="283"/>
        <v>0</v>
      </c>
      <c r="Q121" s="347">
        <f t="shared" si="284"/>
        <v>2796.3095238095239</v>
      </c>
      <c r="R121" s="351">
        <f t="shared" si="285"/>
        <v>96.258503401360542</v>
      </c>
      <c r="S121" s="347">
        <f t="shared" si="286"/>
        <v>108.69047619047615</v>
      </c>
      <c r="T121" s="351">
        <f t="shared" si="287"/>
        <v>3.7414965986394542</v>
      </c>
      <c r="U121" s="355" t="s">
        <v>507</v>
      </c>
      <c r="V121" s="346"/>
    </row>
    <row r="122" spans="1:22" s="367" customFormat="1" x14ac:dyDescent="0.25">
      <c r="A122" s="542"/>
      <c r="B122" s="545" t="s">
        <v>23</v>
      </c>
      <c r="C122" s="545"/>
      <c r="D122" s="379">
        <f>SUM(D115:D121)</f>
        <v>20597</v>
      </c>
      <c r="E122" s="371">
        <f>SUM(E115:E121)</f>
        <v>0</v>
      </c>
      <c r="F122" s="372">
        <f>SUM(F115:F121)/7</f>
        <v>0</v>
      </c>
      <c r="G122" s="371">
        <f t="shared" ref="G122" si="289">SUM(G115:G121)</f>
        <v>115.27777777777777</v>
      </c>
      <c r="H122" s="372">
        <f t="shared" ref="H122" si="290">SUM(H115:H121)/7</f>
        <v>0.56689342403628118</v>
      </c>
      <c r="I122" s="371">
        <f t="shared" ref="I122" si="291">SUM(I115:I121)</f>
        <v>15323.043099601406</v>
      </c>
      <c r="J122" s="372">
        <f t="shared" ref="J122" si="292">SUM(J115:J121)/7</f>
        <v>75.333056895368287</v>
      </c>
      <c r="K122" s="371">
        <f t="shared" ref="K122" si="293">SUM(K115:K121)</f>
        <v>2650.3253229805987</v>
      </c>
      <c r="L122" s="372">
        <f t="shared" ref="L122" si="294">SUM(L115:L121)/7</f>
        <v>12.231836575382845</v>
      </c>
      <c r="M122" s="371">
        <f t="shared" ref="M122" si="295">SUM(M115:M121)</f>
        <v>628.22135064830309</v>
      </c>
      <c r="N122" s="372">
        <f t="shared" ref="N122" si="296">SUM(N115:N121)/7</f>
        <v>2.5651735962074533</v>
      </c>
      <c r="O122" s="371">
        <f t="shared" ref="O122" si="297">SUM(O115:O121)</f>
        <v>7.270833333333333</v>
      </c>
      <c r="P122" s="372">
        <f t="shared" ref="P122" si="298">SUM(P115:P121)/7</f>
        <v>7.440476190476189E-2</v>
      </c>
      <c r="Q122" s="371">
        <f t="shared" ref="Q122" si="299">SUM(Q115:Q121)</f>
        <v>18724.138384341419</v>
      </c>
      <c r="R122" s="372">
        <f t="shared" ref="R122" si="300">SUM(R115:R121)/7</f>
        <v>90.771365252899642</v>
      </c>
      <c r="S122" s="371">
        <f t="shared" ref="S122" si="301">SUM(S115:S121)</f>
        <v>1872.861615658582</v>
      </c>
      <c r="T122" s="372">
        <f t="shared" ref="T122" si="302">SUM(T115:T121)/7</f>
        <v>9.2286347471003705</v>
      </c>
      <c r="U122" s="379"/>
      <c r="V122" s="376"/>
    </row>
    <row r="123" spans="1:22" x14ac:dyDescent="0.25">
      <c r="A123" s="542">
        <v>14</v>
      </c>
      <c r="B123" s="549" t="s">
        <v>1076</v>
      </c>
      <c r="C123" s="549"/>
      <c r="D123" s="359"/>
      <c r="E123" s="359"/>
      <c r="F123" s="360"/>
      <c r="G123" s="359"/>
      <c r="H123" s="360"/>
      <c r="I123" s="359"/>
      <c r="J123" s="360"/>
      <c r="K123" s="359"/>
      <c r="L123" s="360"/>
      <c r="M123" s="359"/>
      <c r="N123" s="360"/>
      <c r="O123" s="359"/>
      <c r="P123" s="360"/>
      <c r="Q123" s="359"/>
      <c r="R123" s="359"/>
      <c r="S123" s="359"/>
      <c r="T123" s="360"/>
      <c r="U123" s="361"/>
      <c r="V123" s="361"/>
    </row>
    <row r="124" spans="1:22" x14ac:dyDescent="0.25">
      <c r="A124" s="542"/>
      <c r="B124" s="397">
        <v>1</v>
      </c>
      <c r="C124" s="398" t="s">
        <v>1077</v>
      </c>
      <c r="D124" s="363">
        <v>654</v>
      </c>
      <c r="E124" s="363">
        <v>0</v>
      </c>
      <c r="F124" s="349">
        <f t="shared" ref="F124:F127" si="303">(E124*100)/D124</f>
        <v>0</v>
      </c>
      <c r="G124" s="369">
        <v>218</v>
      </c>
      <c r="H124" s="351">
        <f t="shared" ref="H124:H127" si="304">(G124*100)/D124</f>
        <v>33.333333333333336</v>
      </c>
      <c r="I124" s="365">
        <v>186.85714285714286</v>
      </c>
      <c r="J124" s="351">
        <f t="shared" ref="J124:J127" si="305">(I124*100)/D124</f>
        <v>28.571428571428573</v>
      </c>
      <c r="K124" s="363">
        <v>0</v>
      </c>
      <c r="L124" s="351">
        <f t="shared" ref="L124:L127" si="306">(K124*100)/D124</f>
        <v>0</v>
      </c>
      <c r="M124" s="363">
        <v>0</v>
      </c>
      <c r="N124" s="349">
        <f>(M124*100)/D124</f>
        <v>0</v>
      </c>
      <c r="O124" s="365">
        <v>0</v>
      </c>
      <c r="P124" s="351">
        <f t="shared" ref="P124:P127" si="307">(O124*100)/D124</f>
        <v>0</v>
      </c>
      <c r="Q124" s="347">
        <f t="shared" ref="Q124:Q127" si="308">O124+M124+K124+I124+G124+E124</f>
        <v>404.85714285714289</v>
      </c>
      <c r="R124" s="351">
        <f t="shared" ref="R124:R127" si="309">(Q124*100)/D124</f>
        <v>61.904761904761912</v>
      </c>
      <c r="S124" s="347">
        <f t="shared" ref="S124:S127" si="310">D124-Q124</f>
        <v>249.14285714285711</v>
      </c>
      <c r="T124" s="351">
        <f t="shared" ref="T124:T127" si="311">(S124*100)/D124</f>
        <v>38.095238095238088</v>
      </c>
      <c r="U124" s="355" t="s">
        <v>507</v>
      </c>
      <c r="V124" s="346"/>
    </row>
    <row r="125" spans="1:22" x14ac:dyDescent="0.25">
      <c r="A125" s="542"/>
      <c r="B125" s="397">
        <v>2</v>
      </c>
      <c r="C125" s="398" t="s">
        <v>1078</v>
      </c>
      <c r="D125" s="363">
        <v>1168</v>
      </c>
      <c r="E125" s="363">
        <v>0</v>
      </c>
      <c r="F125" s="349">
        <f t="shared" si="303"/>
        <v>0</v>
      </c>
      <c r="G125" s="369">
        <v>306.20540540540543</v>
      </c>
      <c r="H125" s="351">
        <f t="shared" si="304"/>
        <v>26.216216216216218</v>
      </c>
      <c r="I125" s="365">
        <v>53.664864864864867</v>
      </c>
      <c r="J125" s="351">
        <f t="shared" si="305"/>
        <v>4.5945945945945947</v>
      </c>
      <c r="K125" s="363">
        <v>0</v>
      </c>
      <c r="L125" s="351">
        <f t="shared" si="306"/>
        <v>0</v>
      </c>
      <c r="M125" s="363">
        <v>0</v>
      </c>
      <c r="N125" s="349">
        <f t="shared" ref="N125:N127" si="312">(M125*100)/D125</f>
        <v>0</v>
      </c>
      <c r="O125" s="365">
        <v>0</v>
      </c>
      <c r="P125" s="351">
        <f t="shared" si="307"/>
        <v>0</v>
      </c>
      <c r="Q125" s="347">
        <f t="shared" si="308"/>
        <v>359.87027027027028</v>
      </c>
      <c r="R125" s="351">
        <f t="shared" si="309"/>
        <v>30.810810810810811</v>
      </c>
      <c r="S125" s="347">
        <f t="shared" si="310"/>
        <v>808.12972972972966</v>
      </c>
      <c r="T125" s="351">
        <f t="shared" si="311"/>
        <v>69.189189189189179</v>
      </c>
      <c r="U125" s="355" t="s">
        <v>507</v>
      </c>
      <c r="V125" s="346"/>
    </row>
    <row r="126" spans="1:22" x14ac:dyDescent="0.25">
      <c r="A126" s="542"/>
      <c r="B126" s="397">
        <v>3</v>
      </c>
      <c r="C126" s="398" t="s">
        <v>1079</v>
      </c>
      <c r="D126" s="363">
        <v>1125</v>
      </c>
      <c r="E126" s="363">
        <v>0</v>
      </c>
      <c r="F126" s="349">
        <f t="shared" si="303"/>
        <v>0</v>
      </c>
      <c r="G126" s="369">
        <v>0</v>
      </c>
      <c r="H126" s="351">
        <f t="shared" si="304"/>
        <v>0</v>
      </c>
      <c r="I126" s="365">
        <v>257.41525423728814</v>
      </c>
      <c r="J126" s="351">
        <f t="shared" si="305"/>
        <v>22.881355932203391</v>
      </c>
      <c r="K126" s="363">
        <v>0</v>
      </c>
      <c r="L126" s="351">
        <f t="shared" si="306"/>
        <v>0</v>
      </c>
      <c r="M126" s="363">
        <v>0</v>
      </c>
      <c r="N126" s="349">
        <f t="shared" si="312"/>
        <v>0</v>
      </c>
      <c r="O126" s="365">
        <v>0</v>
      </c>
      <c r="P126" s="351">
        <f t="shared" si="307"/>
        <v>0</v>
      </c>
      <c r="Q126" s="347">
        <f t="shared" si="308"/>
        <v>257.41525423728814</v>
      </c>
      <c r="R126" s="351">
        <f t="shared" si="309"/>
        <v>22.881355932203391</v>
      </c>
      <c r="S126" s="347">
        <f t="shared" si="310"/>
        <v>867.58474576271192</v>
      </c>
      <c r="T126" s="351">
        <f t="shared" si="311"/>
        <v>77.118644067796623</v>
      </c>
      <c r="U126" s="355" t="s">
        <v>507</v>
      </c>
      <c r="V126" s="346"/>
    </row>
    <row r="127" spans="1:22" x14ac:dyDescent="0.25">
      <c r="A127" s="542"/>
      <c r="B127" s="397">
        <v>4</v>
      </c>
      <c r="C127" s="398" t="s">
        <v>1080</v>
      </c>
      <c r="D127" s="363">
        <v>905</v>
      </c>
      <c r="E127" s="363">
        <v>0</v>
      </c>
      <c r="F127" s="349">
        <f t="shared" si="303"/>
        <v>0</v>
      </c>
      <c r="G127" s="369">
        <v>473.38461538461542</v>
      </c>
      <c r="H127" s="351">
        <f t="shared" si="304"/>
        <v>52.307692307692307</v>
      </c>
      <c r="I127" s="365">
        <v>232.05128205128207</v>
      </c>
      <c r="J127" s="351">
        <f t="shared" si="305"/>
        <v>25.641025641025642</v>
      </c>
      <c r="K127" s="363">
        <v>0</v>
      </c>
      <c r="L127" s="351">
        <f t="shared" si="306"/>
        <v>0</v>
      </c>
      <c r="M127" s="363">
        <v>0</v>
      </c>
      <c r="N127" s="349">
        <f t="shared" si="312"/>
        <v>0</v>
      </c>
      <c r="O127" s="365">
        <v>0</v>
      </c>
      <c r="P127" s="351">
        <f t="shared" si="307"/>
        <v>0</v>
      </c>
      <c r="Q127" s="347">
        <f t="shared" si="308"/>
        <v>705.43589743589746</v>
      </c>
      <c r="R127" s="351">
        <f t="shared" si="309"/>
        <v>77.948717948717956</v>
      </c>
      <c r="S127" s="347">
        <f t="shared" si="310"/>
        <v>199.56410256410254</v>
      </c>
      <c r="T127" s="351">
        <f t="shared" si="311"/>
        <v>22.051282051282048</v>
      </c>
      <c r="U127" s="355" t="s">
        <v>507</v>
      </c>
      <c r="V127" s="346"/>
    </row>
    <row r="128" spans="1:22" s="367" customFormat="1" x14ac:dyDescent="0.25">
      <c r="A128" s="542"/>
      <c r="B128" s="545" t="s">
        <v>23</v>
      </c>
      <c r="C128" s="545"/>
      <c r="D128" s="370">
        <f>SUM(D124:D127)</f>
        <v>3852</v>
      </c>
      <c r="E128" s="371">
        <f>SUM(E124:E127)</f>
        <v>0</v>
      </c>
      <c r="F128" s="372">
        <f>SUM(F124:F127)/4</f>
        <v>0</v>
      </c>
      <c r="G128" s="371">
        <f t="shared" ref="G128" si="313">SUM(G124:G127)</f>
        <v>997.59002079002084</v>
      </c>
      <c r="H128" s="372">
        <f t="shared" ref="H128" si="314">SUM(H124:H127)/4</f>
        <v>27.964310464310465</v>
      </c>
      <c r="I128" s="371">
        <f t="shared" ref="I128" si="315">SUM(I124:I127)</f>
        <v>729.98854401057793</v>
      </c>
      <c r="J128" s="372">
        <f t="shared" ref="J128" si="316">SUM(J124:J127)/4</f>
        <v>20.422101184813052</v>
      </c>
      <c r="K128" s="371">
        <f t="shared" ref="K128" si="317">SUM(K124:K127)</f>
        <v>0</v>
      </c>
      <c r="L128" s="372">
        <f t="shared" ref="L128" si="318">SUM(L124:L127)/4</f>
        <v>0</v>
      </c>
      <c r="M128" s="371">
        <f t="shared" ref="M128" si="319">SUM(M124:M127)</f>
        <v>0</v>
      </c>
      <c r="N128" s="372">
        <f t="shared" ref="N128" si="320">SUM(N124:N127)/4</f>
        <v>0</v>
      </c>
      <c r="O128" s="371">
        <f t="shared" ref="O128" si="321">SUM(O124:O127)</f>
        <v>0</v>
      </c>
      <c r="P128" s="372">
        <f t="shared" ref="P128" si="322">SUM(P124:P127)/4</f>
        <v>0</v>
      </c>
      <c r="Q128" s="371">
        <f t="shared" ref="Q128" si="323">SUM(Q124:Q127)</f>
        <v>1727.5785648005988</v>
      </c>
      <c r="R128" s="372">
        <f t="shared" ref="R128" si="324">SUM(R124:R127)/4</f>
        <v>48.386411649123517</v>
      </c>
      <c r="S128" s="371">
        <f t="shared" ref="S128" si="325">SUM(S124:S127)</f>
        <v>2124.4214351994015</v>
      </c>
      <c r="T128" s="372">
        <f t="shared" ref="T128" si="326">SUM(T124:T127)/4</f>
        <v>51.613588350876483</v>
      </c>
      <c r="U128" s="379"/>
      <c r="V128" s="376"/>
    </row>
    <row r="129" spans="1:22" x14ac:dyDescent="0.25">
      <c r="A129" s="542">
        <v>15</v>
      </c>
      <c r="B129" s="549" t="s">
        <v>1081</v>
      </c>
      <c r="C129" s="549"/>
      <c r="D129" s="359"/>
      <c r="E129" s="359"/>
      <c r="F129" s="360"/>
      <c r="G129" s="359"/>
      <c r="H129" s="360"/>
      <c r="I129" s="359"/>
      <c r="J129" s="360"/>
      <c r="K129" s="359"/>
      <c r="L129" s="360"/>
      <c r="M129" s="359"/>
      <c r="N129" s="360"/>
      <c r="O129" s="359"/>
      <c r="P129" s="360"/>
      <c r="Q129" s="359"/>
      <c r="R129" s="359"/>
      <c r="S129" s="359"/>
      <c r="T129" s="360"/>
      <c r="U129" s="361"/>
      <c r="V129" s="361"/>
    </row>
    <row r="130" spans="1:22" x14ac:dyDescent="0.25">
      <c r="A130" s="542"/>
      <c r="B130" s="399">
        <v>1</v>
      </c>
      <c r="C130" s="400" t="s">
        <v>1082</v>
      </c>
      <c r="D130" s="363">
        <v>620</v>
      </c>
      <c r="E130" s="363">
        <v>0</v>
      </c>
      <c r="F130" s="349">
        <f t="shared" ref="F130:F133" si="327">(E130*100)/D130</f>
        <v>0</v>
      </c>
      <c r="G130" s="369">
        <v>0</v>
      </c>
      <c r="H130" s="351">
        <f t="shared" ref="H130:H133" si="328">(G130*100)/D130</f>
        <v>0</v>
      </c>
      <c r="I130" s="365">
        <v>59.047619047619051</v>
      </c>
      <c r="J130" s="351">
        <f t="shared" ref="J130:J133" si="329">(I130*100)/D130</f>
        <v>9.5238095238095255</v>
      </c>
      <c r="K130" s="363">
        <v>0</v>
      </c>
      <c r="L130" s="351">
        <f t="shared" ref="L130:L131" si="330">(K130*100)/D130</f>
        <v>0</v>
      </c>
      <c r="M130" s="363">
        <v>487.14285714285717</v>
      </c>
      <c r="N130" s="349">
        <f>(M130*100)/D130</f>
        <v>78.571428571428569</v>
      </c>
      <c r="O130" s="365">
        <v>0</v>
      </c>
      <c r="P130" s="351">
        <f t="shared" ref="P130:P133" si="331">(O130*100)/D130</f>
        <v>0</v>
      </c>
      <c r="Q130" s="347">
        <f t="shared" ref="Q130:Q133" si="332">O130+M130+K130+I130+G130+E130</f>
        <v>546.19047619047626</v>
      </c>
      <c r="R130" s="351">
        <f t="shared" ref="R130:R133" si="333">(Q130*100)/D130</f>
        <v>88.095238095238102</v>
      </c>
      <c r="S130" s="347">
        <f t="shared" ref="S130:S133" si="334">D130-Q130</f>
        <v>73.809523809523739</v>
      </c>
      <c r="T130" s="351">
        <f t="shared" ref="T130:T133" si="335">(S130*100)/D130</f>
        <v>11.904761904761894</v>
      </c>
      <c r="U130" s="355" t="s">
        <v>507</v>
      </c>
      <c r="V130" s="346"/>
    </row>
    <row r="131" spans="1:22" x14ac:dyDescent="0.25">
      <c r="A131" s="542"/>
      <c r="B131" s="401">
        <v>2</v>
      </c>
      <c r="C131" s="400" t="s">
        <v>1081</v>
      </c>
      <c r="D131" s="363">
        <v>804</v>
      </c>
      <c r="E131" s="363">
        <v>0</v>
      </c>
      <c r="F131" s="349">
        <f t="shared" si="327"/>
        <v>0</v>
      </c>
      <c r="G131" s="369">
        <v>0</v>
      </c>
      <c r="H131" s="351">
        <f t="shared" si="328"/>
        <v>0</v>
      </c>
      <c r="I131" s="365">
        <v>45.387096774193544</v>
      </c>
      <c r="J131" s="351">
        <f t="shared" si="329"/>
        <v>5.6451612903225801</v>
      </c>
      <c r="K131" s="363">
        <v>0</v>
      </c>
      <c r="L131" s="351">
        <f t="shared" si="330"/>
        <v>0</v>
      </c>
      <c r="M131" s="363">
        <v>700.25806451612902</v>
      </c>
      <c r="N131" s="349">
        <f t="shared" ref="N131:N133" si="336">(M131*100)/D131</f>
        <v>87.096774193548399</v>
      </c>
      <c r="O131" s="365">
        <v>0</v>
      </c>
      <c r="P131" s="351">
        <f t="shared" si="331"/>
        <v>0</v>
      </c>
      <c r="Q131" s="347">
        <f t="shared" si="332"/>
        <v>745.64516129032256</v>
      </c>
      <c r="R131" s="351">
        <f t="shared" si="333"/>
        <v>92.741935483870961</v>
      </c>
      <c r="S131" s="347">
        <f t="shared" si="334"/>
        <v>58.354838709677438</v>
      </c>
      <c r="T131" s="351">
        <f t="shared" si="335"/>
        <v>7.2580645161290347</v>
      </c>
      <c r="U131" s="355" t="s">
        <v>507</v>
      </c>
      <c r="V131" s="346"/>
    </row>
    <row r="132" spans="1:22" x14ac:dyDescent="0.25">
      <c r="A132" s="542"/>
      <c r="B132" s="399">
        <v>3</v>
      </c>
      <c r="C132" s="400" t="s">
        <v>1083</v>
      </c>
      <c r="D132" s="363">
        <v>416</v>
      </c>
      <c r="E132" s="363">
        <v>0</v>
      </c>
      <c r="F132" s="349">
        <f t="shared" si="327"/>
        <v>0</v>
      </c>
      <c r="G132" s="369">
        <v>0</v>
      </c>
      <c r="H132" s="351">
        <f t="shared" si="328"/>
        <v>0</v>
      </c>
      <c r="I132" s="365">
        <v>12.48</v>
      </c>
      <c r="J132" s="351">
        <f t="shared" si="329"/>
        <v>3</v>
      </c>
      <c r="K132" s="363">
        <v>0</v>
      </c>
      <c r="L132" s="351"/>
      <c r="M132" s="363">
        <v>357.76</v>
      </c>
      <c r="N132" s="349">
        <f t="shared" si="336"/>
        <v>86</v>
      </c>
      <c r="O132" s="365">
        <v>0</v>
      </c>
      <c r="P132" s="351">
        <f t="shared" si="331"/>
        <v>0</v>
      </c>
      <c r="Q132" s="347">
        <f t="shared" si="332"/>
        <v>370.24</v>
      </c>
      <c r="R132" s="351">
        <f t="shared" si="333"/>
        <v>89</v>
      </c>
      <c r="S132" s="347">
        <f t="shared" si="334"/>
        <v>45.759999999999991</v>
      </c>
      <c r="T132" s="351">
        <f t="shared" si="335"/>
        <v>10.999999999999998</v>
      </c>
      <c r="U132" s="355" t="s">
        <v>507</v>
      </c>
      <c r="V132" s="346"/>
    </row>
    <row r="133" spans="1:22" x14ac:dyDescent="0.25">
      <c r="A133" s="542"/>
      <c r="B133" s="399">
        <v>4</v>
      </c>
      <c r="C133" s="400" t="s">
        <v>1084</v>
      </c>
      <c r="D133" s="363">
        <v>1759</v>
      </c>
      <c r="E133" s="363">
        <v>0</v>
      </c>
      <c r="F133" s="349">
        <f t="shared" si="327"/>
        <v>0</v>
      </c>
      <c r="G133" s="369">
        <v>0</v>
      </c>
      <c r="H133" s="351">
        <f t="shared" si="328"/>
        <v>0</v>
      </c>
      <c r="I133" s="365">
        <v>124.6255060728745</v>
      </c>
      <c r="J133" s="351">
        <f t="shared" si="329"/>
        <v>7.0850202429149807</v>
      </c>
      <c r="K133" s="363">
        <v>0</v>
      </c>
      <c r="L133" s="351">
        <f t="shared" ref="L133" si="337">(K133*100)/D133</f>
        <v>0</v>
      </c>
      <c r="M133" s="363">
        <v>1413.6093117408907</v>
      </c>
      <c r="N133" s="349">
        <f t="shared" si="336"/>
        <v>80.364372469635626</v>
      </c>
      <c r="O133" s="365">
        <v>0</v>
      </c>
      <c r="P133" s="351">
        <f t="shared" si="331"/>
        <v>0</v>
      </c>
      <c r="Q133" s="347">
        <f t="shared" si="332"/>
        <v>1538.2348178137652</v>
      </c>
      <c r="R133" s="351">
        <f t="shared" si="333"/>
        <v>87.449392712550605</v>
      </c>
      <c r="S133" s="347">
        <f t="shared" si="334"/>
        <v>220.76518218623482</v>
      </c>
      <c r="T133" s="351">
        <f t="shared" si="335"/>
        <v>12.550607287449392</v>
      </c>
      <c r="U133" s="355" t="s">
        <v>507</v>
      </c>
      <c r="V133" s="346"/>
    </row>
    <row r="134" spans="1:22" s="367" customFormat="1" x14ac:dyDescent="0.25">
      <c r="A134" s="542"/>
      <c r="B134" s="545" t="s">
        <v>23</v>
      </c>
      <c r="C134" s="545"/>
      <c r="D134" s="379">
        <f>SUM(D130:D133)</f>
        <v>3599</v>
      </c>
      <c r="E134" s="402">
        <f>SUM(E130:E133)</f>
        <v>0</v>
      </c>
      <c r="F134" s="372">
        <f>SUM(F130:F133)/4</f>
        <v>0</v>
      </c>
      <c r="G134" s="402">
        <f t="shared" ref="G134" si="338">SUM(G130:G133)</f>
        <v>0</v>
      </c>
      <c r="H134" s="372">
        <f t="shared" ref="H134" si="339">SUM(H130:H133)/4</f>
        <v>0</v>
      </c>
      <c r="I134" s="402">
        <f t="shared" ref="I134" si="340">SUM(I130:I133)</f>
        <v>241.54022189468711</v>
      </c>
      <c r="J134" s="372">
        <f t="shared" ref="J134" si="341">SUM(J130:J133)/4</f>
        <v>6.313497764261772</v>
      </c>
      <c r="K134" s="402">
        <f t="shared" ref="K134" si="342">SUM(K130:K133)</f>
        <v>0</v>
      </c>
      <c r="L134" s="372">
        <f t="shared" ref="L134" si="343">SUM(L130:L133)/4</f>
        <v>0</v>
      </c>
      <c r="M134" s="402">
        <f t="shared" ref="M134" si="344">SUM(M130:M133)</f>
        <v>2958.7702333998768</v>
      </c>
      <c r="N134" s="372">
        <f t="shared" ref="N134" si="345">SUM(N130:N133)/4</f>
        <v>83.008143808653145</v>
      </c>
      <c r="O134" s="402">
        <f t="shared" ref="O134" si="346">SUM(O130:O133)</f>
        <v>0</v>
      </c>
      <c r="P134" s="372">
        <f t="shared" ref="P134" si="347">SUM(P130:P133)/4</f>
        <v>0</v>
      </c>
      <c r="Q134" s="402">
        <f t="shared" ref="Q134" si="348">SUM(Q130:Q133)</f>
        <v>3200.3104552945642</v>
      </c>
      <c r="R134" s="372">
        <f t="shared" ref="R134" si="349">SUM(R130:R133)/4</f>
        <v>89.321641572914913</v>
      </c>
      <c r="S134" s="402">
        <f t="shared" ref="S134" si="350">SUM(S130:S133)</f>
        <v>398.68954470543599</v>
      </c>
      <c r="T134" s="372">
        <f t="shared" ref="T134" si="351">SUM(T130:T133)/4</f>
        <v>10.67835842708508</v>
      </c>
      <c r="U134" s="379"/>
      <c r="V134" s="376"/>
    </row>
    <row r="135" spans="1:22" x14ac:dyDescent="0.25">
      <c r="A135" s="542">
        <v>16</v>
      </c>
      <c r="B135" s="549" t="s">
        <v>1085</v>
      </c>
      <c r="C135" s="549"/>
      <c r="D135" s="359"/>
      <c r="E135" s="359"/>
      <c r="F135" s="360"/>
      <c r="G135" s="359"/>
      <c r="H135" s="360"/>
      <c r="I135" s="359"/>
      <c r="J135" s="360"/>
      <c r="K135" s="359"/>
      <c r="L135" s="360"/>
      <c r="M135" s="359"/>
      <c r="N135" s="360"/>
      <c r="O135" s="359"/>
      <c r="P135" s="360"/>
      <c r="Q135" s="359"/>
      <c r="R135" s="359"/>
      <c r="S135" s="359"/>
      <c r="T135" s="360"/>
      <c r="U135" s="361"/>
      <c r="V135" s="361"/>
    </row>
    <row r="136" spans="1:22" x14ac:dyDescent="0.25">
      <c r="A136" s="542"/>
      <c r="B136" s="403">
        <v>1</v>
      </c>
      <c r="C136" s="404" t="s">
        <v>1086</v>
      </c>
      <c r="D136" s="405">
        <v>1084</v>
      </c>
      <c r="E136" s="363">
        <v>0</v>
      </c>
      <c r="F136" s="349">
        <f t="shared" ref="F136:F141" si="352">(E136*100)/D136</f>
        <v>0</v>
      </c>
      <c r="G136" s="369">
        <v>1061.3492537313434</v>
      </c>
      <c r="H136" s="351">
        <f t="shared" ref="H136:H141" si="353">(G136*100)/D136</f>
        <v>97.91044776119405</v>
      </c>
      <c r="I136" s="365">
        <v>22.650746268656718</v>
      </c>
      <c r="J136" s="351">
        <f t="shared" ref="J136:J141" si="354">(I136*100)/D136</f>
        <v>2.0895522388059704</v>
      </c>
      <c r="K136" s="363">
        <v>0</v>
      </c>
      <c r="L136" s="351">
        <f t="shared" ref="L136:L141" si="355">(K136*100)/D136</f>
        <v>0</v>
      </c>
      <c r="M136" s="363">
        <v>0</v>
      </c>
      <c r="N136" s="349">
        <f>(M136*100)/D136</f>
        <v>0</v>
      </c>
      <c r="O136" s="365">
        <v>0</v>
      </c>
      <c r="P136" s="351">
        <f t="shared" ref="P136:P141" si="356">(O136*100)/D136</f>
        <v>0</v>
      </c>
      <c r="Q136" s="347">
        <f t="shared" ref="Q136:Q141" si="357">O136+M136+K136+I136+G136+E136</f>
        <v>1084.0000000000002</v>
      </c>
      <c r="R136" s="351">
        <f t="shared" ref="R136:R141" si="358">(Q136*100)/D136</f>
        <v>100.00000000000003</v>
      </c>
      <c r="S136" s="347">
        <f t="shared" ref="S136:S141" si="359">D136-Q136</f>
        <v>0</v>
      </c>
      <c r="T136" s="351">
        <f t="shared" ref="T136:T141" si="360">(S136*100)/D136</f>
        <v>0</v>
      </c>
      <c r="U136" s="355" t="s">
        <v>507</v>
      </c>
      <c r="V136" s="346"/>
    </row>
    <row r="137" spans="1:22" x14ac:dyDescent="0.25">
      <c r="A137" s="542"/>
      <c r="B137" s="403">
        <v>2</v>
      </c>
      <c r="C137" s="404" t="s">
        <v>1087</v>
      </c>
      <c r="D137" s="405">
        <v>863</v>
      </c>
      <c r="E137" s="363">
        <v>0</v>
      </c>
      <c r="F137" s="349">
        <f t="shared" si="352"/>
        <v>0</v>
      </c>
      <c r="G137" s="369">
        <v>843.31178707224331</v>
      </c>
      <c r="H137" s="351">
        <f t="shared" si="353"/>
        <v>97.718631178707227</v>
      </c>
      <c r="I137" s="365">
        <v>19.688212927756652</v>
      </c>
      <c r="J137" s="351">
        <f t="shared" si="354"/>
        <v>2.2813688212927752</v>
      </c>
      <c r="K137" s="363">
        <v>0</v>
      </c>
      <c r="L137" s="351">
        <f t="shared" si="355"/>
        <v>0</v>
      </c>
      <c r="M137" s="363">
        <v>0</v>
      </c>
      <c r="N137" s="349">
        <f t="shared" ref="N137:N141" si="361">(M137*100)/D137</f>
        <v>0</v>
      </c>
      <c r="O137" s="365">
        <v>0</v>
      </c>
      <c r="P137" s="351">
        <f t="shared" si="356"/>
        <v>0</v>
      </c>
      <c r="Q137" s="347">
        <f t="shared" si="357"/>
        <v>863</v>
      </c>
      <c r="R137" s="351">
        <f t="shared" si="358"/>
        <v>100</v>
      </c>
      <c r="S137" s="347">
        <f t="shared" si="359"/>
        <v>0</v>
      </c>
      <c r="T137" s="351">
        <f t="shared" si="360"/>
        <v>0</v>
      </c>
      <c r="U137" s="355" t="s">
        <v>507</v>
      </c>
      <c r="V137" s="346"/>
    </row>
    <row r="138" spans="1:22" x14ac:dyDescent="0.25">
      <c r="A138" s="542"/>
      <c r="B138" s="403">
        <v>3</v>
      </c>
      <c r="C138" s="404" t="s">
        <v>1088</v>
      </c>
      <c r="D138" s="405">
        <v>3816</v>
      </c>
      <c r="E138" s="363">
        <v>0</v>
      </c>
      <c r="F138" s="349">
        <f t="shared" si="352"/>
        <v>0</v>
      </c>
      <c r="G138" s="369">
        <v>3697.2000000000003</v>
      </c>
      <c r="H138" s="351">
        <f t="shared" si="353"/>
        <v>96.886792452830193</v>
      </c>
      <c r="I138" s="365">
        <v>118.8</v>
      </c>
      <c r="J138" s="351">
        <f t="shared" si="354"/>
        <v>3.1132075471698113</v>
      </c>
      <c r="K138" s="363">
        <v>0</v>
      </c>
      <c r="L138" s="351">
        <f t="shared" si="355"/>
        <v>0</v>
      </c>
      <c r="M138" s="363">
        <v>0</v>
      </c>
      <c r="N138" s="349">
        <f t="shared" si="361"/>
        <v>0</v>
      </c>
      <c r="O138" s="365">
        <v>0</v>
      </c>
      <c r="P138" s="351">
        <f t="shared" si="356"/>
        <v>0</v>
      </c>
      <c r="Q138" s="347">
        <f t="shared" si="357"/>
        <v>3816.0000000000005</v>
      </c>
      <c r="R138" s="351">
        <f t="shared" si="358"/>
        <v>100.00000000000001</v>
      </c>
      <c r="S138" s="347">
        <f t="shared" si="359"/>
        <v>0</v>
      </c>
      <c r="T138" s="351">
        <f t="shared" si="360"/>
        <v>0</v>
      </c>
      <c r="U138" s="355" t="s">
        <v>507</v>
      </c>
      <c r="V138" s="346"/>
    </row>
    <row r="139" spans="1:22" x14ac:dyDescent="0.25">
      <c r="A139" s="542"/>
      <c r="B139" s="403">
        <v>4</v>
      </c>
      <c r="C139" s="404" t="s">
        <v>1089</v>
      </c>
      <c r="D139" s="405">
        <v>1527</v>
      </c>
      <c r="E139" s="363">
        <v>0</v>
      </c>
      <c r="F139" s="349">
        <f t="shared" si="352"/>
        <v>0</v>
      </c>
      <c r="G139" s="369">
        <v>1508.7125748502995</v>
      </c>
      <c r="H139" s="351">
        <f t="shared" si="353"/>
        <v>98.802395209580851</v>
      </c>
      <c r="I139" s="365">
        <v>18.287425149700599</v>
      </c>
      <c r="J139" s="351">
        <f t="shared" si="354"/>
        <v>1.1976047904191618</v>
      </c>
      <c r="K139" s="363">
        <v>0</v>
      </c>
      <c r="L139" s="351">
        <f t="shared" si="355"/>
        <v>0</v>
      </c>
      <c r="M139" s="363">
        <v>0</v>
      </c>
      <c r="N139" s="349">
        <f t="shared" si="361"/>
        <v>0</v>
      </c>
      <c r="O139" s="365">
        <v>0</v>
      </c>
      <c r="P139" s="351">
        <f t="shared" si="356"/>
        <v>0</v>
      </c>
      <c r="Q139" s="347">
        <f t="shared" si="357"/>
        <v>1527</v>
      </c>
      <c r="R139" s="351">
        <f t="shared" si="358"/>
        <v>100</v>
      </c>
      <c r="S139" s="347">
        <f t="shared" si="359"/>
        <v>0</v>
      </c>
      <c r="T139" s="351">
        <f t="shared" si="360"/>
        <v>0</v>
      </c>
      <c r="U139" s="355" t="s">
        <v>507</v>
      </c>
      <c r="V139" s="346"/>
    </row>
    <row r="140" spans="1:22" x14ac:dyDescent="0.25">
      <c r="A140" s="542"/>
      <c r="B140" s="403">
        <v>5</v>
      </c>
      <c r="C140" s="404" t="s">
        <v>1090</v>
      </c>
      <c r="D140" s="405">
        <v>1407</v>
      </c>
      <c r="E140" s="363">
        <v>0</v>
      </c>
      <c r="F140" s="349">
        <f t="shared" si="352"/>
        <v>0</v>
      </c>
      <c r="G140" s="369">
        <v>1407</v>
      </c>
      <c r="H140" s="351">
        <f t="shared" si="353"/>
        <v>100</v>
      </c>
      <c r="I140" s="365">
        <v>0</v>
      </c>
      <c r="J140" s="351">
        <f t="shared" si="354"/>
        <v>0</v>
      </c>
      <c r="K140" s="363">
        <v>0</v>
      </c>
      <c r="L140" s="351">
        <f t="shared" si="355"/>
        <v>0</v>
      </c>
      <c r="M140" s="363">
        <v>0</v>
      </c>
      <c r="N140" s="349">
        <f t="shared" si="361"/>
        <v>0</v>
      </c>
      <c r="O140" s="365">
        <v>0</v>
      </c>
      <c r="P140" s="351">
        <f t="shared" si="356"/>
        <v>0</v>
      </c>
      <c r="Q140" s="347">
        <f t="shared" si="357"/>
        <v>1407</v>
      </c>
      <c r="R140" s="351">
        <f t="shared" si="358"/>
        <v>100</v>
      </c>
      <c r="S140" s="347">
        <f t="shared" si="359"/>
        <v>0</v>
      </c>
      <c r="T140" s="351">
        <f t="shared" si="360"/>
        <v>0</v>
      </c>
      <c r="U140" s="355" t="s">
        <v>507</v>
      </c>
      <c r="V140" s="346"/>
    </row>
    <row r="141" spans="1:22" x14ac:dyDescent="0.25">
      <c r="A141" s="542"/>
      <c r="B141" s="403">
        <v>6</v>
      </c>
      <c r="C141" s="404" t="s">
        <v>1091</v>
      </c>
      <c r="D141" s="405">
        <v>1335</v>
      </c>
      <c r="E141" s="363">
        <v>0</v>
      </c>
      <c r="F141" s="349">
        <f t="shared" si="352"/>
        <v>0</v>
      </c>
      <c r="G141" s="369">
        <v>1335</v>
      </c>
      <c r="H141" s="351">
        <f t="shared" si="353"/>
        <v>100</v>
      </c>
      <c r="I141" s="365">
        <v>0</v>
      </c>
      <c r="J141" s="351">
        <f t="shared" si="354"/>
        <v>0</v>
      </c>
      <c r="K141" s="363">
        <v>0</v>
      </c>
      <c r="L141" s="351">
        <f t="shared" si="355"/>
        <v>0</v>
      </c>
      <c r="M141" s="363">
        <v>0</v>
      </c>
      <c r="N141" s="349">
        <f t="shared" si="361"/>
        <v>0</v>
      </c>
      <c r="O141" s="365">
        <v>0</v>
      </c>
      <c r="P141" s="351">
        <f t="shared" si="356"/>
        <v>0</v>
      </c>
      <c r="Q141" s="347">
        <f t="shared" si="357"/>
        <v>1335</v>
      </c>
      <c r="R141" s="351">
        <f t="shared" si="358"/>
        <v>100</v>
      </c>
      <c r="S141" s="347">
        <f t="shared" si="359"/>
        <v>0</v>
      </c>
      <c r="T141" s="351">
        <f t="shared" si="360"/>
        <v>0</v>
      </c>
      <c r="U141" s="355" t="s">
        <v>507</v>
      </c>
      <c r="V141" s="346"/>
    </row>
    <row r="142" spans="1:22" s="367" customFormat="1" x14ac:dyDescent="0.25">
      <c r="A142" s="542"/>
      <c r="B142" s="545" t="s">
        <v>23</v>
      </c>
      <c r="C142" s="545"/>
      <c r="D142" s="379">
        <f>SUM(D136:D141)</f>
        <v>10032</v>
      </c>
      <c r="E142" s="371">
        <f>SUM(E136:E141)</f>
        <v>0</v>
      </c>
      <c r="F142" s="372">
        <f>SUM(F136:F141)/6</f>
        <v>0</v>
      </c>
      <c r="G142" s="371">
        <f t="shared" ref="G142" si="362">SUM(G136:G141)</f>
        <v>9852.5736156538878</v>
      </c>
      <c r="H142" s="372">
        <f t="shared" ref="H142" si="363">SUM(H136:H141)/6</f>
        <v>98.553044433718711</v>
      </c>
      <c r="I142" s="371">
        <f t="shared" ref="I142" si="364">SUM(I136:I141)</f>
        <v>179.42638434611396</v>
      </c>
      <c r="J142" s="372">
        <f t="shared" ref="J142" si="365">SUM(J136:J141)/6</f>
        <v>1.4469555662812865</v>
      </c>
      <c r="K142" s="371">
        <f t="shared" ref="K142" si="366">SUM(K136:K141)</f>
        <v>0</v>
      </c>
      <c r="L142" s="372">
        <f t="shared" ref="L142" si="367">SUM(L136:L141)/6</f>
        <v>0</v>
      </c>
      <c r="M142" s="371">
        <f t="shared" ref="M142" si="368">SUM(M136:M141)</f>
        <v>0</v>
      </c>
      <c r="N142" s="372">
        <f t="shared" ref="N142" si="369">SUM(N136:N141)/6</f>
        <v>0</v>
      </c>
      <c r="O142" s="371">
        <f t="shared" ref="O142" si="370">SUM(O136:O141)</f>
        <v>0</v>
      </c>
      <c r="P142" s="372">
        <f t="shared" ref="P142" si="371">SUM(P136:P141)/6</f>
        <v>0</v>
      </c>
      <c r="Q142" s="371">
        <f t="shared" ref="Q142" si="372">SUM(Q136:Q141)</f>
        <v>10032</v>
      </c>
      <c r="R142" s="372">
        <f t="shared" ref="R142" si="373">SUM(R136:R141)/6</f>
        <v>100</v>
      </c>
      <c r="S142" s="371">
        <f t="shared" ref="S142" si="374">SUM(S136:S141)</f>
        <v>0</v>
      </c>
      <c r="T142" s="372">
        <f t="shared" ref="T142" si="375">SUM(T136:T141)/6</f>
        <v>0</v>
      </c>
      <c r="U142" s="379"/>
      <c r="V142" s="376"/>
    </row>
    <row r="143" spans="1:22" x14ac:dyDescent="0.25">
      <c r="A143" s="542">
        <v>17</v>
      </c>
      <c r="B143" s="549" t="s">
        <v>1092</v>
      </c>
      <c r="C143" s="549"/>
      <c r="D143" s="359"/>
      <c r="E143" s="359"/>
      <c r="F143" s="360"/>
      <c r="G143" s="359"/>
      <c r="H143" s="360"/>
      <c r="I143" s="359"/>
      <c r="J143" s="360"/>
      <c r="K143" s="359"/>
      <c r="L143" s="360"/>
      <c r="M143" s="359"/>
      <c r="N143" s="360"/>
      <c r="O143" s="359"/>
      <c r="P143" s="360"/>
      <c r="Q143" s="359"/>
      <c r="R143" s="359"/>
      <c r="S143" s="359"/>
      <c r="T143" s="360"/>
      <c r="U143" s="361"/>
      <c r="V143" s="361"/>
    </row>
    <row r="144" spans="1:22" x14ac:dyDescent="0.25">
      <c r="A144" s="542"/>
      <c r="B144" s="406">
        <v>1</v>
      </c>
      <c r="C144" s="407" t="s">
        <v>1093</v>
      </c>
      <c r="D144" s="408">
        <v>1907</v>
      </c>
      <c r="E144" s="363">
        <v>0</v>
      </c>
      <c r="F144" s="349">
        <f t="shared" ref="F144:F151" si="376">(E144*100)/D144</f>
        <v>0</v>
      </c>
      <c r="G144" s="369">
        <v>0</v>
      </c>
      <c r="H144" s="351">
        <f t="shared" ref="H144:H151" si="377">(G144*100)/D144</f>
        <v>0</v>
      </c>
      <c r="I144" s="365">
        <v>732.23706176961605</v>
      </c>
      <c r="J144" s="351">
        <f t="shared" ref="J144:J151" si="378">(I144*100)/D144</f>
        <v>38.397328881469114</v>
      </c>
      <c r="K144" s="363">
        <v>872.31719532554257</v>
      </c>
      <c r="L144" s="351">
        <f t="shared" ref="L144:L151" si="379">(K144*100)/D144</f>
        <v>45.742904841402336</v>
      </c>
      <c r="M144" s="363">
        <v>0</v>
      </c>
      <c r="N144" s="349">
        <f>(M144*100)/D144</f>
        <v>0</v>
      </c>
      <c r="O144" s="365">
        <v>0</v>
      </c>
      <c r="P144" s="351">
        <f t="shared" ref="P144:P151" si="380">(O144*100)/D144</f>
        <v>0</v>
      </c>
      <c r="Q144" s="347">
        <f t="shared" ref="Q144:Q151" si="381">O144+M144+K144+I144+G144+E144</f>
        <v>1604.5542570951586</v>
      </c>
      <c r="R144" s="351">
        <f t="shared" ref="R144:R151" si="382">(Q144*100)/D144</f>
        <v>84.140233722871457</v>
      </c>
      <c r="S144" s="347">
        <f t="shared" ref="S144:S151" si="383">D144-Q144</f>
        <v>302.44574290484138</v>
      </c>
      <c r="T144" s="351">
        <f t="shared" ref="T144:T151" si="384">(S144*100)/D144</f>
        <v>15.859766277128546</v>
      </c>
      <c r="U144" s="355" t="s">
        <v>507</v>
      </c>
      <c r="V144" s="346"/>
    </row>
    <row r="145" spans="1:22" x14ac:dyDescent="0.25">
      <c r="A145" s="542"/>
      <c r="B145" s="409">
        <v>2</v>
      </c>
      <c r="C145" s="407" t="s">
        <v>1094</v>
      </c>
      <c r="D145" s="408">
        <v>1279</v>
      </c>
      <c r="E145" s="363">
        <v>1263.9529411764706</v>
      </c>
      <c r="F145" s="349">
        <f t="shared" si="376"/>
        <v>98.82352941176471</v>
      </c>
      <c r="G145" s="369">
        <v>0</v>
      </c>
      <c r="H145" s="351">
        <f t="shared" si="377"/>
        <v>0</v>
      </c>
      <c r="I145" s="365">
        <v>15.047058823529412</v>
      </c>
      <c r="J145" s="351">
        <f t="shared" si="378"/>
        <v>1.1764705882352942</v>
      </c>
      <c r="K145" s="363">
        <v>0</v>
      </c>
      <c r="L145" s="351">
        <f t="shared" si="379"/>
        <v>0</v>
      </c>
      <c r="M145" s="363">
        <v>0</v>
      </c>
      <c r="N145" s="349">
        <f t="shared" ref="N145:N151" si="385">(M145*100)/D145</f>
        <v>0</v>
      </c>
      <c r="O145" s="365">
        <v>0</v>
      </c>
      <c r="P145" s="351">
        <f t="shared" si="380"/>
        <v>0</v>
      </c>
      <c r="Q145" s="347">
        <f t="shared" si="381"/>
        <v>1279</v>
      </c>
      <c r="R145" s="351">
        <f t="shared" si="382"/>
        <v>100</v>
      </c>
      <c r="S145" s="347">
        <f t="shared" si="383"/>
        <v>0</v>
      </c>
      <c r="T145" s="351">
        <f t="shared" si="384"/>
        <v>0</v>
      </c>
      <c r="U145" s="355" t="s">
        <v>507</v>
      </c>
      <c r="V145" s="346"/>
    </row>
    <row r="146" spans="1:22" x14ac:dyDescent="0.25">
      <c r="A146" s="542"/>
      <c r="B146" s="409">
        <v>3</v>
      </c>
      <c r="C146" s="407" t="s">
        <v>1095</v>
      </c>
      <c r="D146" s="408">
        <v>4103</v>
      </c>
      <c r="E146" s="363">
        <v>929.51258581235697</v>
      </c>
      <c r="F146" s="349">
        <f t="shared" si="376"/>
        <v>22.654462242562929</v>
      </c>
      <c r="G146" s="369">
        <v>0</v>
      </c>
      <c r="H146" s="351">
        <f t="shared" si="377"/>
        <v>0</v>
      </c>
      <c r="I146" s="365">
        <v>746.42677345537754</v>
      </c>
      <c r="J146" s="351">
        <f t="shared" si="378"/>
        <v>18.192219679633865</v>
      </c>
      <c r="K146" s="363">
        <v>2009.2494279176201</v>
      </c>
      <c r="L146" s="351">
        <f t="shared" si="379"/>
        <v>48.970251716247141</v>
      </c>
      <c r="M146" s="363">
        <v>0</v>
      </c>
      <c r="N146" s="349">
        <f t="shared" si="385"/>
        <v>0</v>
      </c>
      <c r="O146" s="365">
        <v>0</v>
      </c>
      <c r="P146" s="351">
        <f t="shared" si="380"/>
        <v>0</v>
      </c>
      <c r="Q146" s="347">
        <f t="shared" si="381"/>
        <v>3685.1887871853546</v>
      </c>
      <c r="R146" s="351">
        <f t="shared" si="382"/>
        <v>89.816933638443942</v>
      </c>
      <c r="S146" s="347">
        <f t="shared" si="383"/>
        <v>417.81121281464539</v>
      </c>
      <c r="T146" s="351">
        <f t="shared" si="384"/>
        <v>10.183066361556067</v>
      </c>
      <c r="U146" s="355" t="s">
        <v>507</v>
      </c>
      <c r="V146" s="346"/>
    </row>
    <row r="147" spans="1:22" x14ac:dyDescent="0.25">
      <c r="A147" s="542"/>
      <c r="B147" s="409">
        <v>4</v>
      </c>
      <c r="C147" s="407" t="s">
        <v>1096</v>
      </c>
      <c r="D147" s="408">
        <v>2083</v>
      </c>
      <c r="E147" s="363">
        <v>948.30455259026689</v>
      </c>
      <c r="F147" s="349">
        <f t="shared" si="376"/>
        <v>45.525902668759812</v>
      </c>
      <c r="G147" s="369">
        <v>703.05337519623231</v>
      </c>
      <c r="H147" s="351">
        <f t="shared" si="377"/>
        <v>33.751962323390899</v>
      </c>
      <c r="I147" s="365">
        <v>245.25117739403453</v>
      </c>
      <c r="J147" s="351">
        <f t="shared" si="378"/>
        <v>11.773940345368917</v>
      </c>
      <c r="K147" s="363">
        <v>0</v>
      </c>
      <c r="L147" s="351">
        <f t="shared" si="379"/>
        <v>0</v>
      </c>
      <c r="M147" s="363">
        <v>0</v>
      </c>
      <c r="N147" s="349">
        <f t="shared" si="385"/>
        <v>0</v>
      </c>
      <c r="O147" s="365">
        <v>32.700156985871274</v>
      </c>
      <c r="P147" s="351">
        <f t="shared" si="380"/>
        <v>1.5698587127158556</v>
      </c>
      <c r="Q147" s="347">
        <f t="shared" si="381"/>
        <v>1929.309262166405</v>
      </c>
      <c r="R147" s="351">
        <f t="shared" si="382"/>
        <v>92.621664050235481</v>
      </c>
      <c r="S147" s="347">
        <f t="shared" si="383"/>
        <v>153.69073783359499</v>
      </c>
      <c r="T147" s="351">
        <f t="shared" si="384"/>
        <v>7.378335949764522</v>
      </c>
      <c r="U147" s="355" t="s">
        <v>507</v>
      </c>
      <c r="V147" s="346"/>
    </row>
    <row r="148" spans="1:22" x14ac:dyDescent="0.25">
      <c r="A148" s="542"/>
      <c r="B148" s="409">
        <v>5</v>
      </c>
      <c r="C148" s="407" t="s">
        <v>1097</v>
      </c>
      <c r="D148" s="408">
        <v>1761</v>
      </c>
      <c r="E148" s="363">
        <v>345.08484848484846</v>
      </c>
      <c r="F148" s="349">
        <f t="shared" si="376"/>
        <v>19.595959595959595</v>
      </c>
      <c r="G148" s="369">
        <v>0</v>
      </c>
      <c r="H148" s="351">
        <f t="shared" si="377"/>
        <v>0</v>
      </c>
      <c r="I148" s="365">
        <v>184.9939393939394</v>
      </c>
      <c r="J148" s="351">
        <f t="shared" si="378"/>
        <v>10.505050505050505</v>
      </c>
      <c r="K148" s="363">
        <v>1102.8484848484848</v>
      </c>
      <c r="L148" s="351">
        <f t="shared" si="379"/>
        <v>62.626262626262623</v>
      </c>
      <c r="M148" s="363">
        <v>0</v>
      </c>
      <c r="N148" s="349">
        <f t="shared" si="385"/>
        <v>0</v>
      </c>
      <c r="O148" s="365">
        <v>35.575757575757578</v>
      </c>
      <c r="P148" s="351">
        <f t="shared" si="380"/>
        <v>2.0202020202020203</v>
      </c>
      <c r="Q148" s="347">
        <f t="shared" si="381"/>
        <v>1668.5030303030301</v>
      </c>
      <c r="R148" s="351">
        <f t="shared" si="382"/>
        <v>94.74747474747474</v>
      </c>
      <c r="S148" s="347">
        <f t="shared" si="383"/>
        <v>92.496969696969927</v>
      </c>
      <c r="T148" s="351">
        <f t="shared" si="384"/>
        <v>5.2525252525252659</v>
      </c>
      <c r="U148" s="355" t="s">
        <v>507</v>
      </c>
      <c r="V148" s="346"/>
    </row>
    <row r="149" spans="1:22" x14ac:dyDescent="0.25">
      <c r="A149" s="542"/>
      <c r="B149" s="409">
        <v>6</v>
      </c>
      <c r="C149" s="407" t="s">
        <v>1098</v>
      </c>
      <c r="D149" s="408">
        <v>4839</v>
      </c>
      <c r="E149" s="363">
        <v>3351.4689603590127</v>
      </c>
      <c r="F149" s="349">
        <f t="shared" si="376"/>
        <v>69.259536275243079</v>
      </c>
      <c r="G149" s="369">
        <v>0</v>
      </c>
      <c r="H149" s="351">
        <f t="shared" si="377"/>
        <v>0</v>
      </c>
      <c r="I149" s="365">
        <v>39.812266267763647</v>
      </c>
      <c r="J149" s="351">
        <f t="shared" si="378"/>
        <v>0.82273747195213165</v>
      </c>
      <c r="K149" s="363">
        <v>0</v>
      </c>
      <c r="L149" s="351">
        <f t="shared" si="379"/>
        <v>0</v>
      </c>
      <c r="M149" s="363">
        <v>846.91548242333579</v>
      </c>
      <c r="N149" s="349">
        <f t="shared" si="385"/>
        <v>17.501869857890799</v>
      </c>
      <c r="O149" s="365">
        <v>57.908750934928946</v>
      </c>
      <c r="P149" s="351">
        <f t="shared" si="380"/>
        <v>1.1967090501121915</v>
      </c>
      <c r="Q149" s="347">
        <f t="shared" si="381"/>
        <v>4296.1054599850413</v>
      </c>
      <c r="R149" s="351">
        <f t="shared" si="382"/>
        <v>88.780852655198217</v>
      </c>
      <c r="S149" s="347">
        <f t="shared" si="383"/>
        <v>542.89454001495869</v>
      </c>
      <c r="T149" s="351">
        <f t="shared" si="384"/>
        <v>11.219147344801792</v>
      </c>
      <c r="U149" s="355" t="s">
        <v>507</v>
      </c>
      <c r="V149" s="346"/>
    </row>
    <row r="150" spans="1:22" x14ac:dyDescent="0.25">
      <c r="A150" s="542"/>
      <c r="B150" s="409">
        <v>7</v>
      </c>
      <c r="C150" s="407" t="s">
        <v>1099</v>
      </c>
      <c r="D150" s="408">
        <v>1683</v>
      </c>
      <c r="E150" s="363">
        <v>682.90243902439033</v>
      </c>
      <c r="F150" s="349">
        <f t="shared" si="376"/>
        <v>40.576496674057658</v>
      </c>
      <c r="G150" s="369">
        <v>529.90243902439022</v>
      </c>
      <c r="H150" s="351">
        <f t="shared" si="377"/>
        <v>31.485587583148554</v>
      </c>
      <c r="I150" s="365">
        <v>406.7560975609756</v>
      </c>
      <c r="J150" s="351">
        <f t="shared" si="378"/>
        <v>24.168514412416851</v>
      </c>
      <c r="K150" s="363">
        <v>44.780487804878049</v>
      </c>
      <c r="L150" s="351">
        <f t="shared" si="379"/>
        <v>2.6607538802660753</v>
      </c>
      <c r="M150" s="363">
        <v>0</v>
      </c>
      <c r="N150" s="349">
        <f t="shared" si="385"/>
        <v>0</v>
      </c>
      <c r="O150" s="365">
        <v>0</v>
      </c>
      <c r="P150" s="351">
        <f t="shared" si="380"/>
        <v>0</v>
      </c>
      <c r="Q150" s="347">
        <f t="shared" si="381"/>
        <v>1664.3414634146343</v>
      </c>
      <c r="R150" s="351">
        <f t="shared" si="382"/>
        <v>98.891352549889149</v>
      </c>
      <c r="S150" s="347">
        <f t="shared" si="383"/>
        <v>18.658536585365709</v>
      </c>
      <c r="T150" s="351">
        <f t="shared" si="384"/>
        <v>1.1086474501108561</v>
      </c>
      <c r="U150" s="355" t="s">
        <v>507</v>
      </c>
      <c r="V150" s="346"/>
    </row>
    <row r="151" spans="1:22" x14ac:dyDescent="0.25">
      <c r="A151" s="542"/>
      <c r="B151" s="409">
        <v>8</v>
      </c>
      <c r="C151" s="407" t="s">
        <v>1100</v>
      </c>
      <c r="D151" s="408">
        <v>2362</v>
      </c>
      <c r="E151" s="363">
        <v>371.68527918781729</v>
      </c>
      <c r="F151" s="349">
        <f t="shared" si="376"/>
        <v>15.736040609137056</v>
      </c>
      <c r="G151" s="369">
        <v>0</v>
      </c>
      <c r="H151" s="351">
        <f t="shared" si="377"/>
        <v>0</v>
      </c>
      <c r="I151" s="365">
        <v>1866.4196277495771</v>
      </c>
      <c r="J151" s="351">
        <f t="shared" si="378"/>
        <v>79.018612521150601</v>
      </c>
      <c r="K151" s="363">
        <v>0</v>
      </c>
      <c r="L151" s="351">
        <f t="shared" si="379"/>
        <v>0</v>
      </c>
      <c r="M151" s="363">
        <v>0</v>
      </c>
      <c r="N151" s="349">
        <f t="shared" si="385"/>
        <v>0</v>
      </c>
      <c r="O151" s="365">
        <v>0</v>
      </c>
      <c r="P151" s="351">
        <f t="shared" si="380"/>
        <v>0</v>
      </c>
      <c r="Q151" s="347">
        <f t="shared" si="381"/>
        <v>2238.1049069373944</v>
      </c>
      <c r="R151" s="351">
        <f t="shared" si="382"/>
        <v>94.75465313028765</v>
      </c>
      <c r="S151" s="347">
        <f t="shared" si="383"/>
        <v>123.89509306260561</v>
      </c>
      <c r="T151" s="351">
        <f t="shared" si="384"/>
        <v>5.2453468697123462</v>
      </c>
      <c r="U151" s="355" t="s">
        <v>507</v>
      </c>
      <c r="V151" s="346"/>
    </row>
    <row r="152" spans="1:22" s="367" customFormat="1" x14ac:dyDescent="0.25">
      <c r="A152" s="542"/>
      <c r="B152" s="545" t="s">
        <v>23</v>
      </c>
      <c r="C152" s="545"/>
      <c r="D152" s="379">
        <f>SUM(D144:D151)</f>
        <v>20017</v>
      </c>
      <c r="E152" s="371">
        <f>SUM(E144:E151)</f>
        <v>7892.9116066351635</v>
      </c>
      <c r="F152" s="372">
        <f>SUM(F144:F151)/8</f>
        <v>39.021490934685602</v>
      </c>
      <c r="G152" s="371">
        <f t="shared" ref="G152" si="386">SUM(G144:G151)</f>
        <v>1232.9558142206224</v>
      </c>
      <c r="H152" s="372">
        <f t="shared" ref="H152" si="387">SUM(H144:H151)/8</f>
        <v>8.1546937383174321</v>
      </c>
      <c r="I152" s="371">
        <f t="shared" ref="I152" si="388">SUM(I144:I151)</f>
        <v>4236.9440024148134</v>
      </c>
      <c r="J152" s="372">
        <f t="shared" ref="J152" si="389">SUM(J144:J151)/8</f>
        <v>23.006859300659663</v>
      </c>
      <c r="K152" s="371">
        <f t="shared" ref="K152" si="390">SUM(K144:K151)</f>
        <v>4029.1955958965254</v>
      </c>
      <c r="L152" s="372">
        <f t="shared" ref="L152" si="391">SUM(L144:L151)/8</f>
        <v>20.000021633022271</v>
      </c>
      <c r="M152" s="371">
        <f t="shared" ref="M152" si="392">SUM(M144:M151)</f>
        <v>846.91548242333579</v>
      </c>
      <c r="N152" s="372">
        <f t="shared" ref="N152" si="393">SUM(N144:N151)/8</f>
        <v>2.1877337322363499</v>
      </c>
      <c r="O152" s="371">
        <f t="shared" ref="O152" si="394">SUM(O144:O151)</f>
        <v>126.1846654965578</v>
      </c>
      <c r="P152" s="372">
        <f t="shared" ref="P152" si="395">SUM(P144:P151)/8</f>
        <v>0.59834622287875838</v>
      </c>
      <c r="Q152" s="371">
        <f t="shared" ref="Q152" si="396">SUM(Q144:Q151)</f>
        <v>18365.107167087019</v>
      </c>
      <c r="R152" s="372">
        <f t="shared" ref="R152" si="397">SUM(R144:R151)/8</f>
        <v>92.96914556180009</v>
      </c>
      <c r="S152" s="371">
        <f t="shared" ref="S152" si="398">SUM(S144:S151)</f>
        <v>1651.8928329129817</v>
      </c>
      <c r="T152" s="372">
        <f t="shared" ref="T152" si="399">SUM(T144:T151)/8</f>
        <v>7.0308544381999241</v>
      </c>
      <c r="U152" s="379"/>
      <c r="V152" s="376"/>
    </row>
    <row r="153" spans="1:22" x14ac:dyDescent="0.25">
      <c r="A153" s="542"/>
      <c r="B153" s="544" t="s">
        <v>143</v>
      </c>
      <c r="C153" s="544"/>
      <c r="D153" s="359"/>
      <c r="E153" s="359"/>
      <c r="F153" s="360"/>
      <c r="G153" s="359"/>
      <c r="H153" s="360"/>
      <c r="I153" s="359"/>
      <c r="J153" s="360"/>
      <c r="K153" s="359"/>
      <c r="L153" s="360"/>
      <c r="M153" s="359"/>
      <c r="N153" s="360"/>
      <c r="O153" s="359"/>
      <c r="P153" s="360"/>
      <c r="Q153" s="359"/>
      <c r="R153" s="359"/>
      <c r="S153" s="359"/>
      <c r="T153" s="360"/>
      <c r="U153" s="361"/>
      <c r="V153" s="361"/>
    </row>
    <row r="154" spans="1:22" x14ac:dyDescent="0.25">
      <c r="A154" s="542">
        <v>18</v>
      </c>
      <c r="B154" s="410">
        <v>1</v>
      </c>
      <c r="C154" s="411" t="s">
        <v>1101</v>
      </c>
      <c r="D154" s="412">
        <v>4425</v>
      </c>
      <c r="E154" s="363">
        <v>347.8165938864629</v>
      </c>
      <c r="F154" s="349">
        <f t="shared" ref="F154:F161" si="400">(E154*100)/D154</f>
        <v>7.8602620087336241</v>
      </c>
      <c r="G154" s="369">
        <v>0</v>
      </c>
      <c r="H154" s="351">
        <f t="shared" ref="H154:H161" si="401">(G154*100)/D154</f>
        <v>0</v>
      </c>
      <c r="I154" s="365">
        <v>2724.5633187772928</v>
      </c>
      <c r="J154" s="351">
        <f t="shared" ref="J154:J161" si="402">(I154*100)/D154</f>
        <v>61.572052401746731</v>
      </c>
      <c r="K154" s="363">
        <v>483.07860262008734</v>
      </c>
      <c r="L154" s="351">
        <f t="shared" ref="L154:L161" si="403">(K154*100)/D154</f>
        <v>10.91703056768559</v>
      </c>
      <c r="M154" s="363">
        <v>0</v>
      </c>
      <c r="N154" s="349">
        <f>(M154*100)/D154</f>
        <v>0</v>
      </c>
      <c r="O154" s="365">
        <v>0</v>
      </c>
      <c r="P154" s="351">
        <f t="shared" ref="P154:P161" si="404">(O154*100)/D154</f>
        <v>0</v>
      </c>
      <c r="Q154" s="347">
        <f t="shared" ref="Q154:Q161" si="405">O154+M154+K154+I154+G154+E154</f>
        <v>3555.4585152838426</v>
      </c>
      <c r="R154" s="351">
        <f t="shared" ref="R154:R161" si="406">(Q154*100)/D154</f>
        <v>80.349344978165931</v>
      </c>
      <c r="S154" s="347">
        <f t="shared" ref="S154:S161" si="407">D154-Q154</f>
        <v>869.54148471615736</v>
      </c>
      <c r="T154" s="351">
        <f t="shared" ref="T154:T161" si="408">(S154*100)/D154</f>
        <v>19.650655021834066</v>
      </c>
      <c r="U154" s="355" t="s">
        <v>507</v>
      </c>
      <c r="V154" s="346"/>
    </row>
    <row r="155" spans="1:22" x14ac:dyDescent="0.25">
      <c r="A155" s="542"/>
      <c r="B155" s="413">
        <v>2</v>
      </c>
      <c r="C155" s="411" t="s">
        <v>1102</v>
      </c>
      <c r="D155" s="412">
        <v>5850</v>
      </c>
      <c r="E155" s="363">
        <v>3159.605433376455</v>
      </c>
      <c r="F155" s="349">
        <f t="shared" si="400"/>
        <v>54.010349288486402</v>
      </c>
      <c r="G155" s="369">
        <v>0</v>
      </c>
      <c r="H155" s="351">
        <f t="shared" si="401"/>
        <v>0</v>
      </c>
      <c r="I155" s="365">
        <v>56.75937904269081</v>
      </c>
      <c r="J155" s="351">
        <f t="shared" si="402"/>
        <v>0.97024579560155222</v>
      </c>
      <c r="K155" s="363">
        <v>718.95213454075031</v>
      </c>
      <c r="L155" s="351">
        <f t="shared" si="403"/>
        <v>12.289780077619662</v>
      </c>
      <c r="M155" s="363">
        <v>0</v>
      </c>
      <c r="N155" s="349">
        <f t="shared" ref="N155:N161" si="409">(M155*100)/D155</f>
        <v>0</v>
      </c>
      <c r="O155" s="365">
        <v>0</v>
      </c>
      <c r="P155" s="351">
        <f t="shared" si="404"/>
        <v>0</v>
      </c>
      <c r="Q155" s="347">
        <f t="shared" si="405"/>
        <v>3935.3169469598961</v>
      </c>
      <c r="R155" s="351">
        <f t="shared" si="406"/>
        <v>67.270375161707619</v>
      </c>
      <c r="S155" s="347">
        <f t="shared" si="407"/>
        <v>1914.6830530401039</v>
      </c>
      <c r="T155" s="351">
        <f t="shared" si="408"/>
        <v>32.729624838292374</v>
      </c>
      <c r="U155" s="355" t="s">
        <v>507</v>
      </c>
      <c r="V155" s="346"/>
    </row>
    <row r="156" spans="1:22" x14ac:dyDescent="0.25">
      <c r="A156" s="542"/>
      <c r="B156" s="413">
        <v>3</v>
      </c>
      <c r="C156" s="411" t="s">
        <v>516</v>
      </c>
      <c r="D156" s="412">
        <v>8148</v>
      </c>
      <c r="E156" s="363">
        <v>5585.7975903614461</v>
      </c>
      <c r="F156" s="349">
        <f t="shared" si="400"/>
        <v>68.554216867469876</v>
      </c>
      <c r="G156" s="369">
        <v>0</v>
      </c>
      <c r="H156" s="351">
        <f t="shared" si="401"/>
        <v>0</v>
      </c>
      <c r="I156" s="365">
        <v>294.50602409638554</v>
      </c>
      <c r="J156" s="351">
        <f t="shared" si="402"/>
        <v>3.6144578313253013</v>
      </c>
      <c r="K156" s="363">
        <v>945.69156626506026</v>
      </c>
      <c r="L156" s="351">
        <f t="shared" si="403"/>
        <v>11.606425702811245</v>
      </c>
      <c r="M156" s="363">
        <v>0</v>
      </c>
      <c r="N156" s="349">
        <f t="shared" si="409"/>
        <v>0</v>
      </c>
      <c r="O156" s="365">
        <v>0</v>
      </c>
      <c r="P156" s="351">
        <f t="shared" si="404"/>
        <v>0</v>
      </c>
      <c r="Q156" s="347">
        <f t="shared" si="405"/>
        <v>6825.9951807228917</v>
      </c>
      <c r="R156" s="351">
        <f t="shared" si="406"/>
        <v>83.775100401606423</v>
      </c>
      <c r="S156" s="347">
        <f t="shared" si="407"/>
        <v>1322.0048192771083</v>
      </c>
      <c r="T156" s="351">
        <f t="shared" si="408"/>
        <v>16.22489959839357</v>
      </c>
      <c r="U156" s="355" t="s">
        <v>507</v>
      </c>
      <c r="V156" s="346"/>
    </row>
    <row r="157" spans="1:22" x14ac:dyDescent="0.25">
      <c r="A157" s="542"/>
      <c r="B157" s="413">
        <v>4</v>
      </c>
      <c r="C157" s="411" t="s">
        <v>1103</v>
      </c>
      <c r="D157" s="412">
        <v>11774</v>
      </c>
      <c r="E157" s="363">
        <v>8771.1698889345935</v>
      </c>
      <c r="F157" s="349">
        <f t="shared" si="400"/>
        <v>74.496092143150946</v>
      </c>
      <c r="G157" s="369">
        <v>0</v>
      </c>
      <c r="H157" s="351">
        <f t="shared" si="401"/>
        <v>0</v>
      </c>
      <c r="I157" s="365">
        <v>135.61168243521183</v>
      </c>
      <c r="J157" s="351">
        <f t="shared" si="402"/>
        <v>1.1517893870835048</v>
      </c>
      <c r="K157" s="363">
        <v>978.34142328259975</v>
      </c>
      <c r="L157" s="351">
        <f t="shared" si="403"/>
        <v>8.3093377211024269</v>
      </c>
      <c r="M157" s="363">
        <v>0</v>
      </c>
      <c r="N157" s="349">
        <f t="shared" si="409"/>
        <v>0</v>
      </c>
      <c r="O157" s="365">
        <v>0</v>
      </c>
      <c r="P157" s="351">
        <f t="shared" si="404"/>
        <v>0</v>
      </c>
      <c r="Q157" s="347">
        <f t="shared" si="405"/>
        <v>9885.1229946524054</v>
      </c>
      <c r="R157" s="351">
        <f t="shared" si="406"/>
        <v>83.957219251336895</v>
      </c>
      <c r="S157" s="347">
        <f t="shared" si="407"/>
        <v>1888.8770053475946</v>
      </c>
      <c r="T157" s="351">
        <f t="shared" si="408"/>
        <v>16.042780748663112</v>
      </c>
      <c r="U157" s="355" t="s">
        <v>507</v>
      </c>
      <c r="V157" s="346"/>
    </row>
    <row r="158" spans="1:22" x14ac:dyDescent="0.25">
      <c r="A158" s="542"/>
      <c r="B158" s="413">
        <v>5</v>
      </c>
      <c r="C158" s="411" t="s">
        <v>1104</v>
      </c>
      <c r="D158" s="412">
        <v>7147</v>
      </c>
      <c r="E158" s="363">
        <v>5117.9788135593226</v>
      </c>
      <c r="F158" s="349">
        <f t="shared" si="400"/>
        <v>71.61016949152544</v>
      </c>
      <c r="G158" s="369">
        <v>0</v>
      </c>
      <c r="H158" s="351">
        <f t="shared" si="401"/>
        <v>0</v>
      </c>
      <c r="I158" s="365">
        <v>0</v>
      </c>
      <c r="J158" s="351">
        <f t="shared" si="402"/>
        <v>0</v>
      </c>
      <c r="K158" s="363">
        <v>696.52966101694915</v>
      </c>
      <c r="L158" s="351">
        <f t="shared" si="403"/>
        <v>9.7457627118644066</v>
      </c>
      <c r="M158" s="363">
        <v>0</v>
      </c>
      <c r="N158" s="349">
        <f t="shared" si="409"/>
        <v>0</v>
      </c>
      <c r="O158" s="365">
        <v>0</v>
      </c>
      <c r="P158" s="351">
        <f t="shared" si="404"/>
        <v>0</v>
      </c>
      <c r="Q158" s="347">
        <f t="shared" si="405"/>
        <v>5814.5084745762715</v>
      </c>
      <c r="R158" s="351">
        <f t="shared" si="406"/>
        <v>81.355932203389841</v>
      </c>
      <c r="S158" s="347">
        <f t="shared" si="407"/>
        <v>1332.4915254237285</v>
      </c>
      <c r="T158" s="351">
        <f t="shared" si="408"/>
        <v>18.644067796610166</v>
      </c>
      <c r="U158" s="355" t="s">
        <v>507</v>
      </c>
      <c r="V158" s="346"/>
    </row>
    <row r="159" spans="1:22" x14ac:dyDescent="0.25">
      <c r="A159" s="542"/>
      <c r="B159" s="413">
        <v>6</v>
      </c>
      <c r="C159" s="414" t="s">
        <v>1105</v>
      </c>
      <c r="D159" s="415">
        <v>14645</v>
      </c>
      <c r="E159" s="363">
        <v>8790.9421265141318</v>
      </c>
      <c r="F159" s="349">
        <f t="shared" si="400"/>
        <v>60.026917900403767</v>
      </c>
      <c r="G159" s="369">
        <v>0</v>
      </c>
      <c r="H159" s="351">
        <f t="shared" si="401"/>
        <v>0</v>
      </c>
      <c r="I159" s="365">
        <v>5858.985531628533</v>
      </c>
      <c r="J159" s="351">
        <f t="shared" si="402"/>
        <v>40.006729475100947</v>
      </c>
      <c r="K159" s="363">
        <v>0</v>
      </c>
      <c r="L159" s="351">
        <f t="shared" si="403"/>
        <v>0</v>
      </c>
      <c r="M159" s="363">
        <v>0</v>
      </c>
      <c r="N159" s="349">
        <f t="shared" si="409"/>
        <v>0</v>
      </c>
      <c r="O159" s="365">
        <v>0</v>
      </c>
      <c r="P159" s="351">
        <f t="shared" si="404"/>
        <v>0</v>
      </c>
      <c r="Q159" s="347">
        <f t="shared" si="405"/>
        <v>14649.927658142664</v>
      </c>
      <c r="R159" s="347">
        <f t="shared" si="406"/>
        <v>100.0336473755047</v>
      </c>
      <c r="S159" s="347">
        <f t="shared" si="407"/>
        <v>-4.9276581426638586</v>
      </c>
      <c r="T159" s="351">
        <f t="shared" si="408"/>
        <v>-3.364737550470371E-2</v>
      </c>
      <c r="U159" s="355" t="s">
        <v>507</v>
      </c>
      <c r="V159" s="346"/>
    </row>
    <row r="160" spans="1:22" x14ac:dyDescent="0.25">
      <c r="A160" s="542"/>
      <c r="B160" s="413">
        <v>7</v>
      </c>
      <c r="C160" s="414" t="s">
        <v>1106</v>
      </c>
      <c r="D160" s="415">
        <v>5110</v>
      </c>
      <c r="E160" s="363">
        <v>2868.705621301775</v>
      </c>
      <c r="F160" s="349">
        <f t="shared" si="400"/>
        <v>56.139053254437869</v>
      </c>
      <c r="G160" s="369">
        <v>0</v>
      </c>
      <c r="H160" s="351">
        <f t="shared" si="401"/>
        <v>0</v>
      </c>
      <c r="I160" s="365">
        <v>2241.2943786982246</v>
      </c>
      <c r="J160" s="351">
        <f t="shared" si="402"/>
        <v>43.860946745562124</v>
      </c>
      <c r="K160" s="363">
        <v>0</v>
      </c>
      <c r="L160" s="351">
        <f t="shared" si="403"/>
        <v>0</v>
      </c>
      <c r="M160" s="363">
        <v>0</v>
      </c>
      <c r="N160" s="349">
        <f t="shared" si="409"/>
        <v>0</v>
      </c>
      <c r="O160" s="365">
        <v>0</v>
      </c>
      <c r="P160" s="351">
        <f t="shared" si="404"/>
        <v>0</v>
      </c>
      <c r="Q160" s="347">
        <f t="shared" si="405"/>
        <v>5110</v>
      </c>
      <c r="R160" s="351">
        <f t="shared" si="406"/>
        <v>100</v>
      </c>
      <c r="S160" s="347">
        <f t="shared" si="407"/>
        <v>0</v>
      </c>
      <c r="T160" s="351">
        <f t="shared" si="408"/>
        <v>0</v>
      </c>
      <c r="U160" s="355" t="s">
        <v>507</v>
      </c>
      <c r="V160" s="346"/>
    </row>
    <row r="161" spans="1:22" x14ac:dyDescent="0.25">
      <c r="A161" s="542"/>
      <c r="B161" s="413">
        <v>8</v>
      </c>
      <c r="C161" s="414" t="s">
        <v>1107</v>
      </c>
      <c r="D161" s="415">
        <v>5980</v>
      </c>
      <c r="E161" s="363">
        <v>3097.453125</v>
      </c>
      <c r="F161" s="349">
        <f t="shared" si="400"/>
        <v>51.796875</v>
      </c>
      <c r="G161" s="369">
        <v>0</v>
      </c>
      <c r="H161" s="351">
        <f t="shared" si="401"/>
        <v>0</v>
      </c>
      <c r="I161" s="365">
        <v>2882.546875</v>
      </c>
      <c r="J161" s="351">
        <f t="shared" si="402"/>
        <v>48.203125</v>
      </c>
      <c r="K161" s="363">
        <v>0</v>
      </c>
      <c r="L161" s="351">
        <f t="shared" si="403"/>
        <v>0</v>
      </c>
      <c r="M161" s="363">
        <v>0</v>
      </c>
      <c r="N161" s="349">
        <f t="shared" si="409"/>
        <v>0</v>
      </c>
      <c r="O161" s="365">
        <v>0</v>
      </c>
      <c r="P161" s="351">
        <f t="shared" si="404"/>
        <v>0</v>
      </c>
      <c r="Q161" s="347">
        <f t="shared" si="405"/>
        <v>5980</v>
      </c>
      <c r="R161" s="351">
        <f t="shared" si="406"/>
        <v>100</v>
      </c>
      <c r="S161" s="347">
        <f t="shared" si="407"/>
        <v>0</v>
      </c>
      <c r="T161" s="351">
        <f t="shared" si="408"/>
        <v>0</v>
      </c>
      <c r="U161" s="355" t="s">
        <v>507</v>
      </c>
      <c r="V161" s="346"/>
    </row>
    <row r="162" spans="1:22" s="367" customFormat="1" x14ac:dyDescent="0.25">
      <c r="A162" s="542"/>
      <c r="B162" s="545" t="s">
        <v>23</v>
      </c>
      <c r="C162" s="545"/>
      <c r="D162" s="379">
        <f>SUM(D154:D161)</f>
        <v>63079</v>
      </c>
      <c r="E162" s="371">
        <f>SUM(E154:E161)</f>
        <v>37739.469192934186</v>
      </c>
      <c r="F162" s="372">
        <f>SUM(F154:F161)/8</f>
        <v>55.561741994275991</v>
      </c>
      <c r="G162" s="371">
        <f t="shared" ref="G162" si="410">SUM(G154:G161)</f>
        <v>0</v>
      </c>
      <c r="H162" s="372">
        <f t="shared" ref="H162" si="411">SUM(H154:H161)/8</f>
        <v>0</v>
      </c>
      <c r="I162" s="371">
        <f t="shared" ref="I162" si="412">SUM(I154:I161)</f>
        <v>14194.267189678339</v>
      </c>
      <c r="J162" s="372">
        <f t="shared" ref="J162" si="413">SUM(J154:J161)/8</f>
        <v>24.922418329552521</v>
      </c>
      <c r="K162" s="371">
        <f t="shared" ref="K162" si="414">SUM(K154:K161)</f>
        <v>3822.5933877254465</v>
      </c>
      <c r="L162" s="372">
        <f t="shared" ref="L162" si="415">SUM(L154:L161)/8</f>
        <v>6.608542097635417</v>
      </c>
      <c r="M162" s="371">
        <f t="shared" ref="M162" si="416">SUM(M154:M161)</f>
        <v>0</v>
      </c>
      <c r="N162" s="372">
        <f t="shared" ref="N162" si="417">SUM(N154:N161)/8</f>
        <v>0</v>
      </c>
      <c r="O162" s="371">
        <f t="shared" ref="O162" si="418">SUM(O154:O161)</f>
        <v>0</v>
      </c>
      <c r="P162" s="372">
        <f t="shared" ref="P162" si="419">SUM(P154:P161)/8</f>
        <v>0</v>
      </c>
      <c r="Q162" s="371">
        <f t="shared" ref="Q162" si="420">SUM(Q154:Q161)</f>
        <v>55756.329770337972</v>
      </c>
      <c r="R162" s="372">
        <f t="shared" ref="R162" si="421">SUM(R154:R161)/8</f>
        <v>87.092702421463926</v>
      </c>
      <c r="S162" s="371">
        <f t="shared" ref="S162" si="422">SUM(S154:S161)</f>
        <v>7322.6702296620288</v>
      </c>
      <c r="T162" s="372">
        <f t="shared" ref="T162" si="423">SUM(T154:T161)/8</f>
        <v>12.907297578536074</v>
      </c>
      <c r="U162" s="379"/>
      <c r="V162" s="379"/>
    </row>
    <row r="163" spans="1:22" x14ac:dyDescent="0.25">
      <c r="A163" s="542">
        <v>19</v>
      </c>
      <c r="B163" s="544" t="s">
        <v>1108</v>
      </c>
      <c r="C163" s="544"/>
      <c r="D163" s="359"/>
      <c r="E163" s="359"/>
      <c r="F163" s="360"/>
      <c r="G163" s="359"/>
      <c r="H163" s="360"/>
      <c r="I163" s="359"/>
      <c r="J163" s="360"/>
      <c r="K163" s="359"/>
      <c r="L163" s="360"/>
      <c r="M163" s="359"/>
      <c r="N163" s="360"/>
      <c r="O163" s="359"/>
      <c r="P163" s="360"/>
      <c r="Q163" s="359"/>
      <c r="R163" s="359"/>
      <c r="S163" s="359"/>
      <c r="T163" s="360"/>
      <c r="U163" s="361"/>
      <c r="V163" s="361"/>
    </row>
    <row r="164" spans="1:22" x14ac:dyDescent="0.25">
      <c r="A164" s="542"/>
      <c r="B164" s="416">
        <v>1</v>
      </c>
      <c r="C164" s="417" t="s">
        <v>1109</v>
      </c>
      <c r="D164" s="418">
        <v>1708</v>
      </c>
      <c r="E164" s="363">
        <v>0</v>
      </c>
      <c r="F164" s="349">
        <f t="shared" ref="F164:F167" si="424">(E164*100)/D164</f>
        <v>0</v>
      </c>
      <c r="G164" s="369">
        <v>591.91649269311063</v>
      </c>
      <c r="H164" s="351">
        <f t="shared" ref="H164:H167" si="425">(G164*100)/D164</f>
        <v>34.65553235908142</v>
      </c>
      <c r="I164" s="365">
        <v>852.21711899791228</v>
      </c>
      <c r="J164" s="351">
        <f t="shared" ref="J164:J167" si="426">(I164*100)/D164</f>
        <v>49.895615866388312</v>
      </c>
      <c r="K164" s="363">
        <v>0</v>
      </c>
      <c r="L164" s="351">
        <f t="shared" ref="L164:L167" si="427">(K164*100)/D164</f>
        <v>0</v>
      </c>
      <c r="M164" s="363">
        <v>0</v>
      </c>
      <c r="N164" s="349">
        <f t="shared" ref="N164:N167" si="428">(M164*100)/D164</f>
        <v>0</v>
      </c>
      <c r="O164" s="365">
        <v>0</v>
      </c>
      <c r="P164" s="351">
        <f t="shared" ref="P164:P167" si="429">(O164*100)/D164</f>
        <v>0</v>
      </c>
      <c r="Q164" s="347">
        <f t="shared" ref="Q164:Q167" si="430">O164+M164+K164+I164+G164+E164</f>
        <v>1444.1336116910229</v>
      </c>
      <c r="R164" s="354">
        <f t="shared" ref="R164:R167" si="431">(Q164*100)/D164</f>
        <v>84.551148225469717</v>
      </c>
      <c r="S164" s="347">
        <f t="shared" ref="S164:S167" si="432">D164-Q164</f>
        <v>263.86638830897709</v>
      </c>
      <c r="T164" s="351">
        <f t="shared" ref="T164:T167" si="433">(S164*100)/D164</f>
        <v>15.448851774530276</v>
      </c>
      <c r="U164" s="355" t="s">
        <v>507</v>
      </c>
      <c r="V164" s="346"/>
    </row>
    <row r="165" spans="1:22" x14ac:dyDescent="0.25">
      <c r="A165" s="542"/>
      <c r="B165" s="419">
        <v>2</v>
      </c>
      <c r="C165" s="417" t="s">
        <v>1110</v>
      </c>
      <c r="D165" s="418">
        <v>3235</v>
      </c>
      <c r="E165" s="363">
        <v>0</v>
      </c>
      <c r="F165" s="349">
        <f t="shared" si="424"/>
        <v>0</v>
      </c>
      <c r="G165" s="369">
        <v>0</v>
      </c>
      <c r="H165" s="351">
        <f t="shared" si="425"/>
        <v>0</v>
      </c>
      <c r="I165" s="365">
        <v>2636.3390804597702</v>
      </c>
      <c r="J165" s="351">
        <f t="shared" si="426"/>
        <v>81.494252873563212</v>
      </c>
      <c r="K165" s="363">
        <v>0</v>
      </c>
      <c r="L165" s="351">
        <f t="shared" si="427"/>
        <v>0</v>
      </c>
      <c r="M165" s="363">
        <v>0</v>
      </c>
      <c r="N165" s="349">
        <f t="shared" si="428"/>
        <v>0</v>
      </c>
      <c r="O165" s="365">
        <v>0</v>
      </c>
      <c r="P165" s="351">
        <f t="shared" si="429"/>
        <v>0</v>
      </c>
      <c r="Q165" s="347">
        <f t="shared" si="430"/>
        <v>2636.3390804597702</v>
      </c>
      <c r="R165" s="354">
        <f t="shared" si="431"/>
        <v>81.494252873563212</v>
      </c>
      <c r="S165" s="347">
        <f t="shared" si="432"/>
        <v>598.66091954022977</v>
      </c>
      <c r="T165" s="351">
        <f t="shared" si="433"/>
        <v>18.505747126436781</v>
      </c>
      <c r="U165" s="355" t="s">
        <v>507</v>
      </c>
      <c r="V165" s="346"/>
    </row>
    <row r="166" spans="1:22" x14ac:dyDescent="0.25">
      <c r="A166" s="542"/>
      <c r="B166" s="419">
        <v>3</v>
      </c>
      <c r="C166" s="420" t="s">
        <v>1111</v>
      </c>
      <c r="D166" s="418">
        <v>2485</v>
      </c>
      <c r="E166" s="363">
        <v>0</v>
      </c>
      <c r="F166" s="349">
        <f t="shared" si="424"/>
        <v>0</v>
      </c>
      <c r="G166" s="369">
        <v>0</v>
      </c>
      <c r="H166" s="351">
        <f t="shared" si="425"/>
        <v>0</v>
      </c>
      <c r="I166" s="365">
        <v>1813.9762611275964</v>
      </c>
      <c r="J166" s="351">
        <f t="shared" si="426"/>
        <v>72.997032640949556</v>
      </c>
      <c r="K166" s="363">
        <v>0</v>
      </c>
      <c r="L166" s="351">
        <f t="shared" si="427"/>
        <v>0</v>
      </c>
      <c r="M166" s="363">
        <v>210.15578635014839</v>
      </c>
      <c r="N166" s="349">
        <f t="shared" si="428"/>
        <v>8.4569732937685469</v>
      </c>
      <c r="O166" s="365">
        <v>0</v>
      </c>
      <c r="P166" s="351">
        <f t="shared" si="429"/>
        <v>0</v>
      </c>
      <c r="Q166" s="347">
        <f t="shared" si="430"/>
        <v>2024.1320474777449</v>
      </c>
      <c r="R166" s="354">
        <f t="shared" si="431"/>
        <v>81.454005934718111</v>
      </c>
      <c r="S166" s="347">
        <f t="shared" si="432"/>
        <v>460.86795252225511</v>
      </c>
      <c r="T166" s="351">
        <f t="shared" si="433"/>
        <v>18.545994065281896</v>
      </c>
      <c r="U166" s="355" t="s">
        <v>507</v>
      </c>
      <c r="V166" s="346"/>
    </row>
    <row r="167" spans="1:22" x14ac:dyDescent="0.25">
      <c r="A167" s="542"/>
      <c r="B167" s="419">
        <v>4</v>
      </c>
      <c r="C167" s="417" t="s">
        <v>1112</v>
      </c>
      <c r="D167" s="418">
        <v>444</v>
      </c>
      <c r="E167" s="363">
        <v>0</v>
      </c>
      <c r="F167" s="349">
        <f t="shared" si="424"/>
        <v>0</v>
      </c>
      <c r="G167" s="369">
        <v>388.95867768595042</v>
      </c>
      <c r="H167" s="351">
        <f t="shared" si="425"/>
        <v>87.603305785123965</v>
      </c>
      <c r="I167" s="365">
        <v>55.041322314049587</v>
      </c>
      <c r="J167" s="351">
        <f t="shared" si="426"/>
        <v>12.396694214876032</v>
      </c>
      <c r="K167" s="363">
        <v>0</v>
      </c>
      <c r="L167" s="351">
        <f t="shared" si="427"/>
        <v>0</v>
      </c>
      <c r="M167" s="363">
        <v>0</v>
      </c>
      <c r="N167" s="349">
        <f t="shared" si="428"/>
        <v>0</v>
      </c>
      <c r="O167" s="365">
        <v>0</v>
      </c>
      <c r="P167" s="351">
        <f t="shared" si="429"/>
        <v>0</v>
      </c>
      <c r="Q167" s="347">
        <f t="shared" si="430"/>
        <v>444</v>
      </c>
      <c r="R167" s="354">
        <f t="shared" si="431"/>
        <v>100</v>
      </c>
      <c r="S167" s="347">
        <f t="shared" si="432"/>
        <v>0</v>
      </c>
      <c r="T167" s="351">
        <f t="shared" si="433"/>
        <v>0</v>
      </c>
      <c r="U167" s="355" t="s">
        <v>507</v>
      </c>
      <c r="V167" s="346"/>
    </row>
    <row r="168" spans="1:22" s="367" customFormat="1" x14ac:dyDescent="0.25">
      <c r="A168" s="542"/>
      <c r="B168" s="545" t="s">
        <v>23</v>
      </c>
      <c r="C168" s="545"/>
      <c r="D168" s="379">
        <f>SUM(D164:D167)</f>
        <v>7872</v>
      </c>
      <c r="E168" s="371">
        <f>SUM(E164:E167)</f>
        <v>0</v>
      </c>
      <c r="F168" s="372">
        <f>SUM(F163:F167)/4</f>
        <v>0</v>
      </c>
      <c r="G168" s="371">
        <f t="shared" ref="G168" si="434">SUM(G164:G167)</f>
        <v>980.87517037906105</v>
      </c>
      <c r="H168" s="372">
        <f t="shared" ref="H168" si="435">SUM(H163:H167)/4</f>
        <v>30.564709536051346</v>
      </c>
      <c r="I168" s="371">
        <f t="shared" ref="I168" si="436">SUM(I164:I167)</f>
        <v>5357.5737828993279</v>
      </c>
      <c r="J168" s="372">
        <f t="shared" ref="J168" si="437">SUM(J163:J167)/4</f>
        <v>54.195898898944272</v>
      </c>
      <c r="K168" s="371">
        <f t="shared" ref="K168" si="438">SUM(K164:K167)</f>
        <v>0</v>
      </c>
      <c r="L168" s="372">
        <f t="shared" ref="L168" si="439">SUM(L163:L167)/4</f>
        <v>0</v>
      </c>
      <c r="M168" s="371">
        <f t="shared" ref="M168" si="440">SUM(M164:M167)</f>
        <v>210.15578635014839</v>
      </c>
      <c r="N168" s="372">
        <f t="shared" ref="N168" si="441">SUM(N163:N167)/4</f>
        <v>2.1142433234421367</v>
      </c>
      <c r="O168" s="371">
        <f t="shared" ref="O168" si="442">SUM(O164:O167)</f>
        <v>0</v>
      </c>
      <c r="P168" s="372">
        <f t="shared" ref="P168" si="443">SUM(P163:P167)/4</f>
        <v>0</v>
      </c>
      <c r="Q168" s="371">
        <f t="shared" ref="Q168" si="444">SUM(Q164:Q167)</f>
        <v>6548.6047396285376</v>
      </c>
      <c r="R168" s="372">
        <f t="shared" ref="R168" si="445">SUM(R163:R167)/4</f>
        <v>86.874851758437757</v>
      </c>
      <c r="S168" s="371">
        <f t="shared" ref="S168" si="446">SUM(S164:S167)</f>
        <v>1323.395260371462</v>
      </c>
      <c r="T168" s="372">
        <f t="shared" ref="T168" si="447">SUM(T163:T167)/4</f>
        <v>13.125148241562238</v>
      </c>
      <c r="U168" s="379"/>
      <c r="V168" s="376"/>
    </row>
    <row r="169" spans="1:22" x14ac:dyDescent="0.25">
      <c r="A169" s="542">
        <v>20</v>
      </c>
      <c r="B169" s="544" t="s">
        <v>1113</v>
      </c>
      <c r="C169" s="544"/>
      <c r="D169" s="359"/>
      <c r="E169" s="359"/>
      <c r="F169" s="360"/>
      <c r="G169" s="359"/>
      <c r="H169" s="360"/>
      <c r="I169" s="359"/>
      <c r="J169" s="360"/>
      <c r="K169" s="359"/>
      <c r="L169" s="360"/>
      <c r="M169" s="359"/>
      <c r="N169" s="360"/>
      <c r="O169" s="359"/>
      <c r="P169" s="360"/>
      <c r="Q169" s="359"/>
      <c r="R169" s="359"/>
      <c r="S169" s="359"/>
      <c r="T169" s="360"/>
      <c r="U169" s="361"/>
      <c r="V169" s="361"/>
    </row>
    <row r="170" spans="1:22" x14ac:dyDescent="0.25">
      <c r="A170" s="542"/>
      <c r="B170" s="421">
        <v>1</v>
      </c>
      <c r="C170" s="422" t="s">
        <v>1114</v>
      </c>
      <c r="D170" s="423">
        <v>1440</v>
      </c>
      <c r="E170" s="363">
        <v>681.76024279210924</v>
      </c>
      <c r="F170" s="349">
        <f t="shared" ref="F170:F178" si="448">(E170*100)/D170</f>
        <v>47.344461305007584</v>
      </c>
      <c r="G170" s="369">
        <v>0</v>
      </c>
      <c r="H170" s="351">
        <f t="shared" ref="H170:H178" si="449">(G170*100)/D170</f>
        <v>0</v>
      </c>
      <c r="I170" s="365">
        <v>758.23975720789065</v>
      </c>
      <c r="J170" s="351">
        <f t="shared" ref="J170:J178" si="450">(I170*100)/D170</f>
        <v>52.655538694992408</v>
      </c>
      <c r="K170" s="363">
        <v>0</v>
      </c>
      <c r="L170" s="351">
        <f t="shared" ref="L170:L178" si="451">(K170*100)/D170</f>
        <v>0</v>
      </c>
      <c r="M170" s="363">
        <v>0</v>
      </c>
      <c r="N170" s="349">
        <f t="shared" ref="N170:N178" si="452">(M170*100)/D170</f>
        <v>0</v>
      </c>
      <c r="O170" s="365">
        <v>0</v>
      </c>
      <c r="P170" s="351">
        <f t="shared" ref="P170:P178" si="453">(O170*100)/D170</f>
        <v>0</v>
      </c>
      <c r="Q170" s="347">
        <f t="shared" ref="Q170:Q178" si="454">O170+M170+K170+I170+G170+E170</f>
        <v>1440</v>
      </c>
      <c r="R170" s="351">
        <f t="shared" ref="R170:R178" si="455">(Q170*100)/D170</f>
        <v>100</v>
      </c>
      <c r="S170" s="347">
        <f t="shared" ref="S170:S178" si="456">D170-Q170</f>
        <v>0</v>
      </c>
      <c r="T170" s="351">
        <f t="shared" ref="T170:T178" si="457">(S170*100)/D170</f>
        <v>0</v>
      </c>
      <c r="U170" s="355" t="s">
        <v>507</v>
      </c>
      <c r="V170" s="346"/>
    </row>
    <row r="171" spans="1:22" x14ac:dyDescent="0.25">
      <c r="A171" s="542"/>
      <c r="B171" s="421">
        <v>2</v>
      </c>
      <c r="C171" s="422" t="s">
        <v>1115</v>
      </c>
      <c r="D171" s="423">
        <v>5988</v>
      </c>
      <c r="E171" s="363">
        <v>1356.4166192373364</v>
      </c>
      <c r="F171" s="349">
        <f t="shared" si="448"/>
        <v>22.652248150256117</v>
      </c>
      <c r="G171" s="369">
        <v>1860.812749003984</v>
      </c>
      <c r="H171" s="351">
        <f t="shared" si="449"/>
        <v>31.075697211155376</v>
      </c>
      <c r="I171" s="365">
        <v>2763.9544678429138</v>
      </c>
      <c r="J171" s="351">
        <f t="shared" si="450"/>
        <v>46.15822424587364</v>
      </c>
      <c r="K171" s="363">
        <v>0</v>
      </c>
      <c r="L171" s="351">
        <f t="shared" si="451"/>
        <v>0</v>
      </c>
      <c r="M171" s="363">
        <v>0</v>
      </c>
      <c r="N171" s="349">
        <f t="shared" si="452"/>
        <v>0</v>
      </c>
      <c r="O171" s="365">
        <v>0</v>
      </c>
      <c r="P171" s="351">
        <f t="shared" si="453"/>
        <v>0</v>
      </c>
      <c r="Q171" s="347">
        <f t="shared" si="454"/>
        <v>5981.1838360842339</v>
      </c>
      <c r="R171" s="351">
        <f t="shared" si="455"/>
        <v>99.88616960728514</v>
      </c>
      <c r="S171" s="347">
        <f t="shared" si="456"/>
        <v>6.8161639157660829</v>
      </c>
      <c r="T171" s="351">
        <f t="shared" si="457"/>
        <v>0.11383039271486445</v>
      </c>
      <c r="U171" s="355" t="s">
        <v>507</v>
      </c>
      <c r="V171" s="346"/>
    </row>
    <row r="172" spans="1:22" x14ac:dyDescent="0.25">
      <c r="A172" s="542"/>
      <c r="B172" s="421">
        <v>3</v>
      </c>
      <c r="C172" s="422" t="s">
        <v>1116</v>
      </c>
      <c r="D172" s="423">
        <v>1904</v>
      </c>
      <c r="E172" s="363">
        <v>68.121645796064399</v>
      </c>
      <c r="F172" s="349">
        <f t="shared" si="448"/>
        <v>3.5778175313059037</v>
      </c>
      <c r="G172" s="369">
        <v>1495.2701252236136</v>
      </c>
      <c r="H172" s="351">
        <f t="shared" si="449"/>
        <v>78.533094812164578</v>
      </c>
      <c r="I172" s="365">
        <v>160.08586762075134</v>
      </c>
      <c r="J172" s="351">
        <f t="shared" si="450"/>
        <v>8.4078711985688734</v>
      </c>
      <c r="K172" s="363">
        <v>0</v>
      </c>
      <c r="L172" s="351">
        <f t="shared" si="451"/>
        <v>0</v>
      </c>
      <c r="M172" s="363">
        <v>0</v>
      </c>
      <c r="N172" s="349">
        <f t="shared" si="452"/>
        <v>0</v>
      </c>
      <c r="O172" s="365">
        <v>0</v>
      </c>
      <c r="P172" s="351">
        <f t="shared" si="453"/>
        <v>0</v>
      </c>
      <c r="Q172" s="347">
        <f t="shared" si="454"/>
        <v>1723.4776386404292</v>
      </c>
      <c r="R172" s="351">
        <f t="shared" si="455"/>
        <v>90.518783542039344</v>
      </c>
      <c r="S172" s="347">
        <f t="shared" si="456"/>
        <v>180.52236135957082</v>
      </c>
      <c r="T172" s="351">
        <f t="shared" si="457"/>
        <v>9.4812164579606524</v>
      </c>
      <c r="U172" s="355" t="s">
        <v>507</v>
      </c>
      <c r="V172" s="346"/>
    </row>
    <row r="173" spans="1:22" x14ac:dyDescent="0.25">
      <c r="A173" s="542"/>
      <c r="B173" s="421">
        <v>4</v>
      </c>
      <c r="C173" s="422" t="s">
        <v>1117</v>
      </c>
      <c r="D173" s="423">
        <v>4776</v>
      </c>
      <c r="E173" s="363">
        <v>1238.3751080380296</v>
      </c>
      <c r="F173" s="349">
        <f t="shared" si="448"/>
        <v>25.929127052722563</v>
      </c>
      <c r="G173" s="369">
        <v>2109.3656006914434</v>
      </c>
      <c r="H173" s="351">
        <f t="shared" si="449"/>
        <v>44.165946413137426</v>
      </c>
      <c r="I173" s="365">
        <v>1428.2592912705272</v>
      </c>
      <c r="J173" s="351">
        <f t="shared" si="450"/>
        <v>29.904926534140017</v>
      </c>
      <c r="K173" s="363">
        <v>0</v>
      </c>
      <c r="L173" s="351">
        <f t="shared" si="451"/>
        <v>0</v>
      </c>
      <c r="M173" s="363">
        <v>0</v>
      </c>
      <c r="N173" s="349">
        <f t="shared" si="452"/>
        <v>0</v>
      </c>
      <c r="O173" s="365">
        <v>0</v>
      </c>
      <c r="P173" s="351">
        <f t="shared" si="453"/>
        <v>0</v>
      </c>
      <c r="Q173" s="347">
        <f t="shared" si="454"/>
        <v>4776</v>
      </c>
      <c r="R173" s="351">
        <f t="shared" si="455"/>
        <v>100</v>
      </c>
      <c r="S173" s="347">
        <f t="shared" si="456"/>
        <v>0</v>
      </c>
      <c r="T173" s="351">
        <f t="shared" si="457"/>
        <v>0</v>
      </c>
      <c r="U173" s="355" t="s">
        <v>507</v>
      </c>
      <c r="V173" s="346"/>
    </row>
    <row r="174" spans="1:22" x14ac:dyDescent="0.25">
      <c r="A174" s="542"/>
      <c r="B174" s="421">
        <v>5</v>
      </c>
      <c r="C174" s="422" t="s">
        <v>1118</v>
      </c>
      <c r="D174" s="423">
        <v>1451</v>
      </c>
      <c r="E174" s="363">
        <v>150.40853658536585</v>
      </c>
      <c r="F174" s="349">
        <f t="shared" si="448"/>
        <v>10.365853658536585</v>
      </c>
      <c r="G174" s="369">
        <v>1176.7256097560976</v>
      </c>
      <c r="H174" s="351">
        <f t="shared" si="449"/>
        <v>81.097560975609753</v>
      </c>
      <c r="I174" s="365">
        <v>123.86585365853659</v>
      </c>
      <c r="J174" s="351">
        <f t="shared" si="450"/>
        <v>8.536585365853659</v>
      </c>
      <c r="K174" s="363">
        <v>0</v>
      </c>
      <c r="L174" s="351">
        <f t="shared" si="451"/>
        <v>0</v>
      </c>
      <c r="M174" s="363">
        <v>0</v>
      </c>
      <c r="N174" s="349">
        <f t="shared" si="452"/>
        <v>0</v>
      </c>
      <c r="O174" s="365">
        <v>0</v>
      </c>
      <c r="P174" s="351">
        <f t="shared" si="453"/>
        <v>0</v>
      </c>
      <c r="Q174" s="347">
        <f t="shared" si="454"/>
        <v>1451.0000000000002</v>
      </c>
      <c r="R174" s="351">
        <f t="shared" si="455"/>
        <v>100.00000000000001</v>
      </c>
      <c r="S174" s="347">
        <f t="shared" si="456"/>
        <v>0</v>
      </c>
      <c r="T174" s="351">
        <f t="shared" si="457"/>
        <v>0</v>
      </c>
      <c r="U174" s="355" t="s">
        <v>507</v>
      </c>
      <c r="V174" s="346"/>
    </row>
    <row r="175" spans="1:22" x14ac:dyDescent="0.25">
      <c r="A175" s="542"/>
      <c r="B175" s="421">
        <v>6</v>
      </c>
      <c r="C175" s="422" t="s">
        <v>1119</v>
      </c>
      <c r="D175" s="423">
        <v>1324</v>
      </c>
      <c r="E175" s="363">
        <v>876.41769911504423</v>
      </c>
      <c r="F175" s="349">
        <f t="shared" si="448"/>
        <v>66.194690265486727</v>
      </c>
      <c r="G175" s="369">
        <v>447.58230088495571</v>
      </c>
      <c r="H175" s="351">
        <f t="shared" si="449"/>
        <v>33.805309734513273</v>
      </c>
      <c r="I175" s="365">
        <v>0</v>
      </c>
      <c r="J175" s="351">
        <f t="shared" si="450"/>
        <v>0</v>
      </c>
      <c r="K175" s="363">
        <v>0</v>
      </c>
      <c r="L175" s="351">
        <f t="shared" si="451"/>
        <v>0</v>
      </c>
      <c r="M175" s="363">
        <v>0</v>
      </c>
      <c r="N175" s="349">
        <f t="shared" si="452"/>
        <v>0</v>
      </c>
      <c r="O175" s="365">
        <v>0</v>
      </c>
      <c r="P175" s="351">
        <f t="shared" si="453"/>
        <v>0</v>
      </c>
      <c r="Q175" s="347">
        <f t="shared" si="454"/>
        <v>1324</v>
      </c>
      <c r="R175" s="351">
        <f t="shared" si="455"/>
        <v>100</v>
      </c>
      <c r="S175" s="347">
        <f t="shared" si="456"/>
        <v>0</v>
      </c>
      <c r="T175" s="351">
        <f t="shared" si="457"/>
        <v>0</v>
      </c>
      <c r="U175" s="355" t="s">
        <v>507</v>
      </c>
      <c r="V175" s="346"/>
    </row>
    <row r="176" spans="1:22" x14ac:dyDescent="0.25">
      <c r="A176" s="542"/>
      <c r="B176" s="421">
        <v>7</v>
      </c>
      <c r="C176" s="422" t="s">
        <v>1120</v>
      </c>
      <c r="D176" s="423">
        <v>3401</v>
      </c>
      <c r="E176" s="363">
        <v>819.21897810218979</v>
      </c>
      <c r="F176" s="349">
        <f t="shared" si="448"/>
        <v>24.087591240875909</v>
      </c>
      <c r="G176" s="369">
        <v>1556.8706986444213</v>
      </c>
      <c r="H176" s="351">
        <f t="shared" si="449"/>
        <v>45.776850886339943</v>
      </c>
      <c r="I176" s="365">
        <v>1021.3639207507821</v>
      </c>
      <c r="J176" s="351">
        <f t="shared" si="450"/>
        <v>30.031282586027114</v>
      </c>
      <c r="K176" s="363">
        <v>0</v>
      </c>
      <c r="L176" s="351">
        <f t="shared" si="451"/>
        <v>0</v>
      </c>
      <c r="M176" s="363">
        <v>0</v>
      </c>
      <c r="N176" s="349">
        <f t="shared" si="452"/>
        <v>0</v>
      </c>
      <c r="O176" s="365">
        <v>0</v>
      </c>
      <c r="P176" s="351">
        <f t="shared" si="453"/>
        <v>0</v>
      </c>
      <c r="Q176" s="347">
        <f t="shared" si="454"/>
        <v>3397.4535974973933</v>
      </c>
      <c r="R176" s="351">
        <f t="shared" si="455"/>
        <v>99.89572471324297</v>
      </c>
      <c r="S176" s="347">
        <f t="shared" si="456"/>
        <v>3.5464025026067247</v>
      </c>
      <c r="T176" s="351">
        <f t="shared" si="457"/>
        <v>0.10427528675703396</v>
      </c>
      <c r="U176" s="355" t="s">
        <v>507</v>
      </c>
      <c r="V176" s="346"/>
    </row>
    <row r="177" spans="1:22" x14ac:dyDescent="0.25">
      <c r="A177" s="542"/>
      <c r="B177" s="421">
        <v>8</v>
      </c>
      <c r="C177" s="422" t="s">
        <v>1121</v>
      </c>
      <c r="D177" s="423">
        <v>3851</v>
      </c>
      <c r="E177" s="363">
        <v>1476.6992481203008</v>
      </c>
      <c r="F177" s="349">
        <f t="shared" si="448"/>
        <v>38.345864661654133</v>
      </c>
      <c r="G177" s="369">
        <v>459.14178302900109</v>
      </c>
      <c r="H177" s="351">
        <f t="shared" si="449"/>
        <v>11.922663802363051</v>
      </c>
      <c r="I177" s="365">
        <v>1915.1589688506983</v>
      </c>
      <c r="J177" s="351">
        <f t="shared" si="450"/>
        <v>49.73147153598282</v>
      </c>
      <c r="K177" s="363">
        <v>0</v>
      </c>
      <c r="L177" s="351">
        <f t="shared" si="451"/>
        <v>0</v>
      </c>
      <c r="M177" s="363">
        <v>0</v>
      </c>
      <c r="N177" s="349">
        <f t="shared" si="452"/>
        <v>0</v>
      </c>
      <c r="O177" s="365">
        <v>0</v>
      </c>
      <c r="P177" s="351">
        <f t="shared" si="453"/>
        <v>0</v>
      </c>
      <c r="Q177" s="347">
        <f t="shared" si="454"/>
        <v>3851</v>
      </c>
      <c r="R177" s="351">
        <f t="shared" si="455"/>
        <v>100</v>
      </c>
      <c r="S177" s="347">
        <f t="shared" si="456"/>
        <v>0</v>
      </c>
      <c r="T177" s="351">
        <f t="shared" si="457"/>
        <v>0</v>
      </c>
      <c r="U177" s="355" t="s">
        <v>507</v>
      </c>
      <c r="V177" s="346"/>
    </row>
    <row r="178" spans="1:22" x14ac:dyDescent="0.25">
      <c r="A178" s="542"/>
      <c r="B178" s="421">
        <v>9</v>
      </c>
      <c r="C178" s="422" t="s">
        <v>1122</v>
      </c>
      <c r="D178" s="423">
        <v>3313</v>
      </c>
      <c r="E178" s="363">
        <v>292.19131614654003</v>
      </c>
      <c r="F178" s="349">
        <f t="shared" si="448"/>
        <v>8.8195386702849401</v>
      </c>
      <c r="G178" s="369">
        <v>2737.6078697421981</v>
      </c>
      <c r="H178" s="351">
        <f t="shared" si="449"/>
        <v>82.632293080054282</v>
      </c>
      <c r="I178" s="365">
        <v>274.21031207598372</v>
      </c>
      <c r="J178" s="351">
        <f t="shared" si="450"/>
        <v>8.2767978290366351</v>
      </c>
      <c r="K178" s="363">
        <v>0</v>
      </c>
      <c r="L178" s="351">
        <f t="shared" si="451"/>
        <v>0</v>
      </c>
      <c r="M178" s="363">
        <v>0</v>
      </c>
      <c r="N178" s="349">
        <f t="shared" si="452"/>
        <v>0</v>
      </c>
      <c r="O178" s="365">
        <v>0</v>
      </c>
      <c r="P178" s="351">
        <f t="shared" si="453"/>
        <v>0</v>
      </c>
      <c r="Q178" s="347">
        <f t="shared" si="454"/>
        <v>3304.009497964722</v>
      </c>
      <c r="R178" s="351">
        <f t="shared" si="455"/>
        <v>99.728629579375863</v>
      </c>
      <c r="S178" s="347">
        <f t="shared" si="456"/>
        <v>8.9905020352780411</v>
      </c>
      <c r="T178" s="351">
        <f t="shared" si="457"/>
        <v>0.27137042062414857</v>
      </c>
      <c r="U178" s="355" t="s">
        <v>507</v>
      </c>
      <c r="V178" s="346"/>
    </row>
    <row r="179" spans="1:22" s="367" customFormat="1" x14ac:dyDescent="0.25">
      <c r="A179" s="542"/>
      <c r="B179" s="545" t="s">
        <v>23</v>
      </c>
      <c r="C179" s="545"/>
      <c r="D179" s="379">
        <f>SUM(D170:D178)</f>
        <v>27448</v>
      </c>
      <c r="E179" s="371">
        <f>SUM(E170:E178)</f>
        <v>6959.6093939329794</v>
      </c>
      <c r="F179" s="372">
        <f>SUM(F170:F178)/9</f>
        <v>27.479688059570048</v>
      </c>
      <c r="G179" s="371">
        <f t="shared" ref="G179" si="458">SUM(G170:G178)</f>
        <v>11843.376736975715</v>
      </c>
      <c r="H179" s="372">
        <f t="shared" ref="H179" si="459">SUM(H170:H178)/9</f>
        <v>45.445490768370853</v>
      </c>
      <c r="I179" s="371">
        <f t="shared" ref="I179" si="460">SUM(I170:I178)</f>
        <v>8445.1384392780838</v>
      </c>
      <c r="J179" s="372">
        <f t="shared" ref="J179" si="461">SUM(J170:J178)/9</f>
        <v>25.966966443386131</v>
      </c>
      <c r="K179" s="371">
        <f t="shared" ref="K179" si="462">SUM(K170:K178)</f>
        <v>0</v>
      </c>
      <c r="L179" s="372">
        <f t="shared" ref="L179" si="463">SUM(L170:L178)/9</f>
        <v>0</v>
      </c>
      <c r="M179" s="371">
        <f t="shared" ref="M179" si="464">SUM(M170:M178)</f>
        <v>0</v>
      </c>
      <c r="N179" s="372">
        <f t="shared" ref="N179" si="465">SUM(N170:N178)/9</f>
        <v>0</v>
      </c>
      <c r="O179" s="371">
        <f t="shared" ref="O179" si="466">SUM(O170:O178)</f>
        <v>0</v>
      </c>
      <c r="P179" s="372">
        <f t="shared" ref="P179" si="467">SUM(P170:P178)/9</f>
        <v>0</v>
      </c>
      <c r="Q179" s="371">
        <f t="shared" ref="Q179" si="468">SUM(Q170:Q178)</f>
        <v>27248.124570186777</v>
      </c>
      <c r="R179" s="372">
        <f t="shared" ref="R179" si="469">SUM(R170:R178)/9</f>
        <v>98.892145271327024</v>
      </c>
      <c r="S179" s="371">
        <f t="shared" ref="S179" si="470">SUM(S170:S178)</f>
        <v>199.87542981322167</v>
      </c>
      <c r="T179" s="372">
        <f t="shared" ref="T179" si="471">SUM(T170:T178)/9</f>
        <v>1.1078547286729665</v>
      </c>
      <c r="U179" s="379"/>
      <c r="V179" s="376"/>
    </row>
    <row r="180" spans="1:22" x14ac:dyDescent="0.25">
      <c r="A180" s="542">
        <v>21</v>
      </c>
      <c r="B180" s="544" t="s">
        <v>1123</v>
      </c>
      <c r="C180" s="544"/>
      <c r="D180" s="359"/>
      <c r="E180" s="359"/>
      <c r="F180" s="360"/>
      <c r="G180" s="359"/>
      <c r="H180" s="360"/>
      <c r="I180" s="359"/>
      <c r="J180" s="360"/>
      <c r="K180" s="359"/>
      <c r="L180" s="360"/>
      <c r="M180" s="359"/>
      <c r="N180" s="360"/>
      <c r="O180" s="359"/>
      <c r="P180" s="360"/>
      <c r="Q180" s="359"/>
      <c r="R180" s="359"/>
      <c r="S180" s="359"/>
      <c r="T180" s="360"/>
      <c r="U180" s="361"/>
      <c r="V180" s="361"/>
    </row>
    <row r="181" spans="1:22" x14ac:dyDescent="0.25">
      <c r="A181" s="542"/>
      <c r="B181" s="424">
        <v>1</v>
      </c>
      <c r="C181" s="425" t="s">
        <v>1124</v>
      </c>
      <c r="D181" s="426">
        <v>4061</v>
      </c>
      <c r="E181" s="363">
        <v>677.7369826435247</v>
      </c>
      <c r="F181" s="349">
        <f t="shared" ref="F181:F186" si="472">(E181*100)/D181</f>
        <v>16.688918558077436</v>
      </c>
      <c r="G181" s="369">
        <v>0</v>
      </c>
      <c r="H181" s="351">
        <f t="shared" ref="H181:H186" si="473">(G181*100)/D181</f>
        <v>0</v>
      </c>
      <c r="I181" s="365">
        <v>2011.5233644859811</v>
      </c>
      <c r="J181" s="351">
        <f t="shared" ref="J181:J186" si="474">(I181*100)/D181</f>
        <v>49.532710280373827</v>
      </c>
      <c r="K181" s="363">
        <v>303.62616822429902</v>
      </c>
      <c r="L181" s="351">
        <f t="shared" ref="L181:L186" si="475">(K181*100)/D181</f>
        <v>7.4766355140186906</v>
      </c>
      <c r="M181" s="363">
        <v>0</v>
      </c>
      <c r="N181" s="349">
        <f t="shared" ref="N181:N186" si="476">(M181*100)/D181</f>
        <v>0</v>
      </c>
      <c r="O181" s="365">
        <v>0</v>
      </c>
      <c r="P181" s="351">
        <f t="shared" ref="P181:P186" si="477">(O181*100)/D181</f>
        <v>0</v>
      </c>
      <c r="Q181" s="347">
        <f t="shared" ref="Q181:Q186" si="478">O181+M181+K181+I181+G181+E181</f>
        <v>2992.886515353805</v>
      </c>
      <c r="R181" s="351">
        <f t="shared" ref="R181:R186" si="479">(Q181*100)/D181</f>
        <v>73.698264352469963</v>
      </c>
      <c r="S181" s="347">
        <f t="shared" ref="S181:S186" si="480">D181-Q181</f>
        <v>1068.113484646195</v>
      </c>
      <c r="T181" s="351">
        <f t="shared" ref="T181:T186" si="481">(S181*100)/D181</f>
        <v>26.301735647530041</v>
      </c>
      <c r="U181" s="355" t="s">
        <v>507</v>
      </c>
      <c r="V181" s="346"/>
    </row>
    <row r="182" spans="1:22" x14ac:dyDescent="0.25">
      <c r="A182" s="542"/>
      <c r="B182" s="424">
        <v>2</v>
      </c>
      <c r="C182" s="425" t="s">
        <v>1125</v>
      </c>
      <c r="D182" s="426">
        <v>3152</v>
      </c>
      <c r="E182" s="363">
        <v>323.71891891891892</v>
      </c>
      <c r="F182" s="349">
        <f t="shared" si="472"/>
        <v>10.27027027027027</v>
      </c>
      <c r="G182" s="369">
        <v>340.75675675675677</v>
      </c>
      <c r="H182" s="351">
        <f t="shared" si="473"/>
        <v>10.810810810810812</v>
      </c>
      <c r="I182" s="365">
        <v>332.23783783783784</v>
      </c>
      <c r="J182" s="351">
        <f t="shared" si="474"/>
        <v>10.540540540540542</v>
      </c>
      <c r="K182" s="363">
        <v>0</v>
      </c>
      <c r="L182" s="351">
        <f t="shared" si="475"/>
        <v>0</v>
      </c>
      <c r="M182" s="363">
        <v>1052.0864864864866</v>
      </c>
      <c r="N182" s="349">
        <f t="shared" si="476"/>
        <v>33.378378378378379</v>
      </c>
      <c r="O182" s="365">
        <v>0</v>
      </c>
      <c r="P182" s="351">
        <f t="shared" si="477"/>
        <v>0</v>
      </c>
      <c r="Q182" s="347">
        <f t="shared" si="478"/>
        <v>2048.8000000000002</v>
      </c>
      <c r="R182" s="351">
        <f t="shared" si="479"/>
        <v>65.000000000000014</v>
      </c>
      <c r="S182" s="347">
        <f t="shared" si="480"/>
        <v>1103.1999999999998</v>
      </c>
      <c r="T182" s="351">
        <f t="shared" si="481"/>
        <v>34.999999999999993</v>
      </c>
      <c r="U182" s="355" t="s">
        <v>507</v>
      </c>
      <c r="V182" s="346"/>
    </row>
    <row r="183" spans="1:22" x14ac:dyDescent="0.25">
      <c r="A183" s="542"/>
      <c r="B183" s="424">
        <v>3</v>
      </c>
      <c r="C183" s="425" t="s">
        <v>1126</v>
      </c>
      <c r="D183" s="426">
        <v>1507</v>
      </c>
      <c r="E183" s="363">
        <v>0</v>
      </c>
      <c r="F183" s="349">
        <f t="shared" si="472"/>
        <v>0</v>
      </c>
      <c r="G183" s="369">
        <v>203.07092198581563</v>
      </c>
      <c r="H183" s="351">
        <f t="shared" si="473"/>
        <v>13.475177304964539</v>
      </c>
      <c r="I183" s="365">
        <v>1026.0425531914893</v>
      </c>
      <c r="J183" s="351">
        <f t="shared" si="474"/>
        <v>68.085106382978722</v>
      </c>
      <c r="K183" s="363">
        <v>0</v>
      </c>
      <c r="L183" s="351">
        <f t="shared" si="475"/>
        <v>0</v>
      </c>
      <c r="M183" s="363">
        <v>0</v>
      </c>
      <c r="N183" s="349">
        <f t="shared" si="476"/>
        <v>0</v>
      </c>
      <c r="O183" s="365">
        <v>0</v>
      </c>
      <c r="P183" s="351">
        <f t="shared" si="477"/>
        <v>0</v>
      </c>
      <c r="Q183" s="347">
        <f t="shared" si="478"/>
        <v>1229.113475177305</v>
      </c>
      <c r="R183" s="351">
        <f t="shared" si="479"/>
        <v>81.560283687943254</v>
      </c>
      <c r="S183" s="347">
        <f t="shared" si="480"/>
        <v>277.88652482269504</v>
      </c>
      <c r="T183" s="351">
        <f t="shared" si="481"/>
        <v>18.439716312056738</v>
      </c>
      <c r="U183" s="355" t="s">
        <v>507</v>
      </c>
      <c r="V183" s="346"/>
    </row>
    <row r="184" spans="1:22" x14ac:dyDescent="0.25">
      <c r="A184" s="542"/>
      <c r="B184" s="424">
        <v>4</v>
      </c>
      <c r="C184" s="427" t="s">
        <v>1127</v>
      </c>
      <c r="D184" s="426">
        <v>4061</v>
      </c>
      <c r="E184" s="363">
        <v>643.86093888396817</v>
      </c>
      <c r="F184" s="349">
        <f t="shared" si="472"/>
        <v>15.854738706820196</v>
      </c>
      <c r="G184" s="369">
        <v>0</v>
      </c>
      <c r="H184" s="351">
        <f t="shared" si="473"/>
        <v>0</v>
      </c>
      <c r="I184" s="365">
        <v>1258.9459698848539</v>
      </c>
      <c r="J184" s="351">
        <f t="shared" si="474"/>
        <v>31.000885739592558</v>
      </c>
      <c r="K184" s="363">
        <v>230.207263064659</v>
      </c>
      <c r="L184" s="351">
        <f t="shared" si="475"/>
        <v>5.6687333923826406</v>
      </c>
      <c r="M184" s="363">
        <v>0</v>
      </c>
      <c r="N184" s="349">
        <f t="shared" si="476"/>
        <v>0</v>
      </c>
      <c r="O184" s="365">
        <v>0</v>
      </c>
      <c r="P184" s="351">
        <f t="shared" si="477"/>
        <v>0</v>
      </c>
      <c r="Q184" s="347">
        <f t="shared" si="478"/>
        <v>2133.0141718334808</v>
      </c>
      <c r="R184" s="351">
        <f t="shared" si="479"/>
        <v>52.524357838795389</v>
      </c>
      <c r="S184" s="347">
        <f t="shared" si="480"/>
        <v>1927.9858281665192</v>
      </c>
      <c r="T184" s="351">
        <f t="shared" si="481"/>
        <v>47.475642161204611</v>
      </c>
      <c r="U184" s="355" t="s">
        <v>507</v>
      </c>
      <c r="V184" s="346"/>
    </row>
    <row r="185" spans="1:22" x14ac:dyDescent="0.25">
      <c r="A185" s="542"/>
      <c r="B185" s="424">
        <v>5</v>
      </c>
      <c r="C185" s="428" t="s">
        <v>1128</v>
      </c>
      <c r="D185" s="426">
        <v>1850</v>
      </c>
      <c r="E185" s="363">
        <v>698.18763326226019</v>
      </c>
      <c r="F185" s="349">
        <f t="shared" si="472"/>
        <v>37.739872068230284</v>
      </c>
      <c r="G185" s="369">
        <v>0</v>
      </c>
      <c r="H185" s="351">
        <f t="shared" si="473"/>
        <v>0</v>
      </c>
      <c r="I185" s="365">
        <v>0</v>
      </c>
      <c r="J185" s="351">
        <f t="shared" si="474"/>
        <v>0</v>
      </c>
      <c r="K185" s="363">
        <v>0</v>
      </c>
      <c r="L185" s="351">
        <f t="shared" si="475"/>
        <v>0</v>
      </c>
      <c r="M185" s="363">
        <v>0</v>
      </c>
      <c r="N185" s="349">
        <f t="shared" si="476"/>
        <v>0</v>
      </c>
      <c r="O185" s="365">
        <v>0</v>
      </c>
      <c r="P185" s="351">
        <f t="shared" si="477"/>
        <v>0</v>
      </c>
      <c r="Q185" s="347">
        <f t="shared" si="478"/>
        <v>698.18763326226019</v>
      </c>
      <c r="R185" s="351">
        <f t="shared" si="479"/>
        <v>37.739872068230284</v>
      </c>
      <c r="S185" s="347">
        <f t="shared" si="480"/>
        <v>1151.8123667377399</v>
      </c>
      <c r="T185" s="351">
        <f t="shared" si="481"/>
        <v>62.260127931769723</v>
      </c>
      <c r="U185" s="355" t="s">
        <v>507</v>
      </c>
      <c r="V185" s="346"/>
    </row>
    <row r="186" spans="1:22" x14ac:dyDescent="0.25">
      <c r="A186" s="542"/>
      <c r="B186" s="424">
        <v>6</v>
      </c>
      <c r="C186" s="425" t="s">
        <v>1129</v>
      </c>
      <c r="D186" s="426">
        <v>2939</v>
      </c>
      <c r="E186" s="363">
        <v>0</v>
      </c>
      <c r="F186" s="349">
        <f t="shared" si="472"/>
        <v>0</v>
      </c>
      <c r="G186" s="369">
        <v>0</v>
      </c>
      <c r="H186" s="351">
        <f t="shared" si="473"/>
        <v>0</v>
      </c>
      <c r="I186" s="365">
        <v>773.99751552795033</v>
      </c>
      <c r="J186" s="351">
        <f t="shared" si="474"/>
        <v>26.335403726708073</v>
      </c>
      <c r="K186" s="363">
        <v>0</v>
      </c>
      <c r="L186" s="351">
        <f t="shared" si="475"/>
        <v>0</v>
      </c>
      <c r="M186" s="363">
        <v>0</v>
      </c>
      <c r="N186" s="349">
        <f t="shared" si="476"/>
        <v>0</v>
      </c>
      <c r="O186" s="365">
        <v>0</v>
      </c>
      <c r="P186" s="351">
        <f t="shared" si="477"/>
        <v>0</v>
      </c>
      <c r="Q186" s="347">
        <f t="shared" si="478"/>
        <v>773.99751552795033</v>
      </c>
      <c r="R186" s="351">
        <f t="shared" si="479"/>
        <v>26.335403726708073</v>
      </c>
      <c r="S186" s="347">
        <f t="shared" si="480"/>
        <v>2165.0024844720497</v>
      </c>
      <c r="T186" s="351">
        <f t="shared" si="481"/>
        <v>73.66459627329192</v>
      </c>
      <c r="U186" s="355" t="s">
        <v>507</v>
      </c>
      <c r="V186" s="346"/>
    </row>
    <row r="187" spans="1:22" s="367" customFormat="1" x14ac:dyDescent="0.25">
      <c r="A187" s="542"/>
      <c r="B187" s="545" t="s">
        <v>23</v>
      </c>
      <c r="C187" s="545"/>
      <c r="D187" s="379">
        <f>SUM(D181:D186)</f>
        <v>17570</v>
      </c>
      <c r="E187" s="371">
        <f>SUM(E181:E186)</f>
        <v>2343.5044737086719</v>
      </c>
      <c r="F187" s="372">
        <f>SUM(F181:F186)/6</f>
        <v>13.425633267233032</v>
      </c>
      <c r="G187" s="371">
        <f t="shared" ref="G187" si="482">SUM(G181:G186)</f>
        <v>543.8276787425724</v>
      </c>
      <c r="H187" s="372">
        <f t="shared" ref="H187" si="483">SUM(H181:H186)/6</f>
        <v>4.0476646859625589</v>
      </c>
      <c r="I187" s="371">
        <f t="shared" ref="I187" si="484">SUM(I181:I186)</f>
        <v>5402.7472409281127</v>
      </c>
      <c r="J187" s="372">
        <f t="shared" ref="J187" si="485">SUM(J181:J186)/6</f>
        <v>30.915774445032287</v>
      </c>
      <c r="K187" s="371">
        <f t="shared" ref="K187" si="486">SUM(K181:K186)</f>
        <v>533.83343128895808</v>
      </c>
      <c r="L187" s="372">
        <f t="shared" ref="L187" si="487">SUM(L181:L186)/6</f>
        <v>2.1908948177335552</v>
      </c>
      <c r="M187" s="371">
        <f t="shared" ref="M187" si="488">SUM(M181:M186)</f>
        <v>1052.0864864864866</v>
      </c>
      <c r="N187" s="372">
        <f t="shared" ref="N187" si="489">SUM(N181:N186)/6</f>
        <v>5.5630630630630629</v>
      </c>
      <c r="O187" s="371">
        <f t="shared" ref="O187" si="490">SUM(O181:O186)</f>
        <v>0</v>
      </c>
      <c r="P187" s="372">
        <f t="shared" ref="P187" si="491">SUM(P181:P186)/6</f>
        <v>0</v>
      </c>
      <c r="Q187" s="371">
        <f t="shared" ref="Q187" si="492">SUM(Q181:Q186)</f>
        <v>9875.999311154801</v>
      </c>
      <c r="R187" s="372">
        <f t="shared" ref="R187" si="493">SUM(R181:R186)/6</f>
        <v>56.143030279024494</v>
      </c>
      <c r="S187" s="371">
        <f t="shared" ref="S187" si="494">SUM(S181:S186)</f>
        <v>7694.000688845199</v>
      </c>
      <c r="T187" s="372">
        <f t="shared" ref="T187" si="495">SUM(T181:T186)/6</f>
        <v>43.856969720975506</v>
      </c>
      <c r="U187" s="379"/>
      <c r="V187" s="376"/>
    </row>
    <row r="188" spans="1:22" x14ac:dyDescent="0.25">
      <c r="A188" s="542">
        <v>22</v>
      </c>
      <c r="B188" s="544" t="s">
        <v>1130</v>
      </c>
      <c r="C188" s="544"/>
      <c r="D188" s="359"/>
      <c r="E188" s="363"/>
      <c r="F188" s="429"/>
      <c r="G188" s="363"/>
      <c r="H188" s="429"/>
      <c r="I188" s="363"/>
      <c r="J188" s="429"/>
      <c r="K188" s="363"/>
      <c r="L188" s="429"/>
      <c r="M188" s="363"/>
      <c r="N188" s="429"/>
      <c r="O188" s="363"/>
      <c r="P188" s="360"/>
      <c r="Q188" s="359"/>
      <c r="R188" s="359"/>
      <c r="S188" s="359"/>
      <c r="T188" s="360"/>
      <c r="U188" s="361"/>
      <c r="V188" s="361"/>
    </row>
    <row r="189" spans="1:22" x14ac:dyDescent="0.25">
      <c r="A189" s="542"/>
      <c r="B189" s="430">
        <v>1</v>
      </c>
      <c r="C189" s="431" t="s">
        <v>1131</v>
      </c>
      <c r="D189" s="432">
        <v>3343</v>
      </c>
      <c r="E189" s="363">
        <v>0</v>
      </c>
      <c r="F189" s="349">
        <f t="shared" ref="F189:F196" si="496">(E189*100)/D189</f>
        <v>0</v>
      </c>
      <c r="G189" s="369">
        <v>816.66894977168954</v>
      </c>
      <c r="H189" s="351">
        <f t="shared" ref="H189:H196" si="497">(G189*100)/D189</f>
        <v>24.429223744292237</v>
      </c>
      <c r="I189" s="365">
        <v>45.794520547945211</v>
      </c>
      <c r="J189" s="351">
        <f t="shared" ref="J189:J196" si="498">(I189*100)/D189</f>
        <v>1.3698630136986303</v>
      </c>
      <c r="K189" s="363">
        <v>2415.6609589041095</v>
      </c>
      <c r="L189" s="351">
        <f t="shared" ref="L189:L196" si="499">(K189*100)/D189</f>
        <v>72.260273972602732</v>
      </c>
      <c r="M189" s="363">
        <v>0</v>
      </c>
      <c r="N189" s="349">
        <f t="shared" ref="N189:N196" si="500">(M189*100)/D189</f>
        <v>0</v>
      </c>
      <c r="O189" s="365">
        <v>0</v>
      </c>
      <c r="P189" s="351">
        <f t="shared" ref="P189:P196" si="501">(O189*100)/D189</f>
        <v>0</v>
      </c>
      <c r="Q189" s="347">
        <f t="shared" ref="Q189:Q196" si="502">O189+M189+K189+I189+G189+E189</f>
        <v>3278.1244292237443</v>
      </c>
      <c r="R189" s="351">
        <f t="shared" ref="R189:R196" si="503">(Q189*100)/D189</f>
        <v>98.059360730593596</v>
      </c>
      <c r="S189" s="347">
        <f t="shared" ref="S189:S196" si="504">D189-Q189</f>
        <v>64.875570776255699</v>
      </c>
      <c r="T189" s="351">
        <f t="shared" ref="T189:T196" si="505">(S189*100)/D189</f>
        <v>1.9406392694063925</v>
      </c>
      <c r="U189" s="355" t="s">
        <v>507</v>
      </c>
      <c r="V189" s="346"/>
    </row>
    <row r="190" spans="1:22" x14ac:dyDescent="0.25">
      <c r="A190" s="542"/>
      <c r="B190" s="430">
        <v>2</v>
      </c>
      <c r="C190" s="431" t="s">
        <v>517</v>
      </c>
      <c r="D190" s="432">
        <v>4856</v>
      </c>
      <c r="E190" s="363">
        <v>10.904191616766466</v>
      </c>
      <c r="F190" s="349">
        <f t="shared" si="496"/>
        <v>0.22455089820359278</v>
      </c>
      <c r="G190" s="369">
        <v>2184.4730538922154</v>
      </c>
      <c r="H190" s="351">
        <f t="shared" si="497"/>
        <v>44.985029940119752</v>
      </c>
      <c r="I190" s="365">
        <v>32.712574850299397</v>
      </c>
      <c r="J190" s="351">
        <f t="shared" si="498"/>
        <v>0.67365269461077837</v>
      </c>
      <c r="K190" s="363">
        <v>2253.5329341317365</v>
      </c>
      <c r="L190" s="351">
        <f t="shared" si="499"/>
        <v>46.407185628742511</v>
      </c>
      <c r="M190" s="363">
        <v>0</v>
      </c>
      <c r="N190" s="349">
        <f t="shared" si="500"/>
        <v>0</v>
      </c>
      <c r="O190" s="365">
        <v>0</v>
      </c>
      <c r="P190" s="351">
        <f t="shared" si="501"/>
        <v>0</v>
      </c>
      <c r="Q190" s="347">
        <f t="shared" si="502"/>
        <v>4481.622754491018</v>
      </c>
      <c r="R190" s="351">
        <f t="shared" si="503"/>
        <v>92.290419161676652</v>
      </c>
      <c r="S190" s="347">
        <f t="shared" si="504"/>
        <v>374.37724550898201</v>
      </c>
      <c r="T190" s="351">
        <f t="shared" si="505"/>
        <v>7.7095808383233528</v>
      </c>
      <c r="U190" s="355" t="s">
        <v>507</v>
      </c>
      <c r="V190" s="346"/>
    </row>
    <row r="191" spans="1:22" x14ac:dyDescent="0.25">
      <c r="A191" s="542"/>
      <c r="B191" s="430">
        <v>3</v>
      </c>
      <c r="C191" s="431" t="s">
        <v>1132</v>
      </c>
      <c r="D191" s="432">
        <v>4868</v>
      </c>
      <c r="E191" s="363">
        <v>192.01753104455807</v>
      </c>
      <c r="F191" s="349">
        <f t="shared" si="496"/>
        <v>3.9444850255661064</v>
      </c>
      <c r="G191" s="369">
        <v>1578.8108108108108</v>
      </c>
      <c r="H191" s="351">
        <f t="shared" si="497"/>
        <v>32.432432432432435</v>
      </c>
      <c r="I191" s="365">
        <v>352.03214024835648</v>
      </c>
      <c r="J191" s="351">
        <f t="shared" si="498"/>
        <v>7.2315558802045299</v>
      </c>
      <c r="K191" s="363">
        <v>2528.2308254200148</v>
      </c>
      <c r="L191" s="351">
        <f t="shared" si="499"/>
        <v>51.935719503287075</v>
      </c>
      <c r="M191" s="363">
        <v>0</v>
      </c>
      <c r="N191" s="349">
        <f t="shared" si="500"/>
        <v>0</v>
      </c>
      <c r="O191" s="365">
        <v>0</v>
      </c>
      <c r="P191" s="351">
        <f t="shared" si="501"/>
        <v>0</v>
      </c>
      <c r="Q191" s="347">
        <f t="shared" si="502"/>
        <v>4651.0913075237404</v>
      </c>
      <c r="R191" s="351">
        <f t="shared" si="503"/>
        <v>95.544192841490158</v>
      </c>
      <c r="S191" s="347">
        <f t="shared" si="504"/>
        <v>216.9086924762596</v>
      </c>
      <c r="T191" s="351">
        <f t="shared" si="505"/>
        <v>4.4558071585098524</v>
      </c>
      <c r="U191" s="355" t="s">
        <v>507</v>
      </c>
      <c r="V191" s="346"/>
    </row>
    <row r="192" spans="1:22" x14ac:dyDescent="0.25">
      <c r="A192" s="542"/>
      <c r="B192" s="430">
        <v>4</v>
      </c>
      <c r="C192" s="431" t="s">
        <v>1133</v>
      </c>
      <c r="D192" s="432">
        <v>4158</v>
      </c>
      <c r="E192" s="363">
        <v>0</v>
      </c>
      <c r="F192" s="349">
        <f t="shared" si="496"/>
        <v>0</v>
      </c>
      <c r="G192" s="369">
        <v>2014.907514450867</v>
      </c>
      <c r="H192" s="351">
        <f t="shared" si="497"/>
        <v>48.458574181117534</v>
      </c>
      <c r="I192" s="365">
        <v>268.38728323699422</v>
      </c>
      <c r="J192" s="351">
        <f t="shared" si="498"/>
        <v>6.4547206165703281</v>
      </c>
      <c r="K192" s="363">
        <v>1874.7052023121387</v>
      </c>
      <c r="L192" s="351">
        <f t="shared" si="499"/>
        <v>45.086705202312132</v>
      </c>
      <c r="M192" s="363">
        <v>0</v>
      </c>
      <c r="N192" s="349">
        <f t="shared" si="500"/>
        <v>0</v>
      </c>
      <c r="O192" s="365">
        <v>0</v>
      </c>
      <c r="P192" s="351">
        <f t="shared" si="501"/>
        <v>0</v>
      </c>
      <c r="Q192" s="347">
        <f t="shared" si="502"/>
        <v>4158</v>
      </c>
      <c r="R192" s="351">
        <f t="shared" si="503"/>
        <v>100</v>
      </c>
      <c r="S192" s="347">
        <f t="shared" si="504"/>
        <v>0</v>
      </c>
      <c r="T192" s="351">
        <f t="shared" si="505"/>
        <v>0</v>
      </c>
      <c r="U192" s="355" t="s">
        <v>507</v>
      </c>
      <c r="V192" s="346"/>
    </row>
    <row r="193" spans="1:22" x14ac:dyDescent="0.25">
      <c r="A193" s="542"/>
      <c r="B193" s="430">
        <v>5</v>
      </c>
      <c r="C193" s="431" t="s">
        <v>1134</v>
      </c>
      <c r="D193" s="432">
        <v>1810</v>
      </c>
      <c r="E193" s="363">
        <v>0</v>
      </c>
      <c r="F193" s="349">
        <f t="shared" si="496"/>
        <v>0</v>
      </c>
      <c r="G193" s="369">
        <v>209.34163701067615</v>
      </c>
      <c r="H193" s="351">
        <f t="shared" si="497"/>
        <v>11.565836298932386</v>
      </c>
      <c r="I193" s="365">
        <v>470.21352313167262</v>
      </c>
      <c r="J193" s="351">
        <f t="shared" si="498"/>
        <v>25.978647686832741</v>
      </c>
      <c r="K193" s="363">
        <v>1053.1494661921708</v>
      </c>
      <c r="L193" s="351">
        <f t="shared" si="499"/>
        <v>58.185053380782918</v>
      </c>
      <c r="M193" s="363">
        <v>0</v>
      </c>
      <c r="N193" s="349">
        <f t="shared" si="500"/>
        <v>0</v>
      </c>
      <c r="O193" s="365">
        <v>0</v>
      </c>
      <c r="P193" s="351">
        <f t="shared" si="501"/>
        <v>0</v>
      </c>
      <c r="Q193" s="347">
        <f t="shared" si="502"/>
        <v>1732.7046263345196</v>
      </c>
      <c r="R193" s="351">
        <f t="shared" si="503"/>
        <v>95.729537366548044</v>
      </c>
      <c r="S193" s="347">
        <f t="shared" si="504"/>
        <v>77.295373665480383</v>
      </c>
      <c r="T193" s="351">
        <f t="shared" si="505"/>
        <v>4.2704626334519551</v>
      </c>
      <c r="U193" s="355" t="s">
        <v>507</v>
      </c>
      <c r="V193" s="346"/>
    </row>
    <row r="194" spans="1:22" x14ac:dyDescent="0.25">
      <c r="A194" s="542"/>
      <c r="B194" s="430">
        <v>6</v>
      </c>
      <c r="C194" s="431" t="s">
        <v>1135</v>
      </c>
      <c r="D194" s="432">
        <v>4580</v>
      </c>
      <c r="E194" s="363">
        <v>0</v>
      </c>
      <c r="F194" s="349">
        <f t="shared" si="496"/>
        <v>0</v>
      </c>
      <c r="G194" s="369">
        <v>1400.7445255474454</v>
      </c>
      <c r="H194" s="351">
        <f t="shared" si="497"/>
        <v>30.583941605839421</v>
      </c>
      <c r="I194" s="365">
        <v>0</v>
      </c>
      <c r="J194" s="351">
        <f t="shared" si="498"/>
        <v>0</v>
      </c>
      <c r="K194" s="363">
        <v>3072.277372262774</v>
      </c>
      <c r="L194" s="351">
        <f t="shared" si="499"/>
        <v>67.080291970802932</v>
      </c>
      <c r="M194" s="363">
        <v>0</v>
      </c>
      <c r="N194" s="349">
        <f t="shared" si="500"/>
        <v>0</v>
      </c>
      <c r="O194" s="365">
        <v>0</v>
      </c>
      <c r="P194" s="351">
        <f t="shared" si="501"/>
        <v>0</v>
      </c>
      <c r="Q194" s="347">
        <f t="shared" si="502"/>
        <v>4473.0218978102193</v>
      </c>
      <c r="R194" s="351">
        <f t="shared" si="503"/>
        <v>97.664233576642332</v>
      </c>
      <c r="S194" s="347">
        <f t="shared" si="504"/>
        <v>106.97810218978066</v>
      </c>
      <c r="T194" s="351">
        <f t="shared" si="505"/>
        <v>2.3357664233576561</v>
      </c>
      <c r="U194" s="355" t="s">
        <v>507</v>
      </c>
      <c r="V194" s="346"/>
    </row>
    <row r="195" spans="1:22" x14ac:dyDescent="0.25">
      <c r="A195" s="542"/>
      <c r="B195" s="430">
        <v>7</v>
      </c>
      <c r="C195" s="431" t="s">
        <v>1136</v>
      </c>
      <c r="D195" s="432">
        <v>2671</v>
      </c>
      <c r="E195" s="363">
        <v>262.44900497512435</v>
      </c>
      <c r="F195" s="349">
        <f t="shared" si="496"/>
        <v>9.8258706467661678</v>
      </c>
      <c r="G195" s="369">
        <v>1302.278606965174</v>
      </c>
      <c r="H195" s="351">
        <f t="shared" si="497"/>
        <v>48.756218905472636</v>
      </c>
      <c r="I195" s="365">
        <v>179.3955223880597</v>
      </c>
      <c r="J195" s="351">
        <f t="shared" si="498"/>
        <v>6.7164179104477606</v>
      </c>
      <c r="K195" s="363">
        <v>548.15298507462683</v>
      </c>
      <c r="L195" s="351">
        <f t="shared" si="499"/>
        <v>20.522388059701491</v>
      </c>
      <c r="M195" s="363">
        <v>0</v>
      </c>
      <c r="N195" s="349">
        <f t="shared" si="500"/>
        <v>0</v>
      </c>
      <c r="O195" s="365">
        <v>0</v>
      </c>
      <c r="P195" s="351">
        <f t="shared" si="501"/>
        <v>0</v>
      </c>
      <c r="Q195" s="347">
        <f t="shared" si="502"/>
        <v>2292.2761194029849</v>
      </c>
      <c r="R195" s="351">
        <f t="shared" si="503"/>
        <v>85.820895522388057</v>
      </c>
      <c r="S195" s="347">
        <f t="shared" si="504"/>
        <v>378.72388059701507</v>
      </c>
      <c r="T195" s="351">
        <f t="shared" si="505"/>
        <v>14.179104477611947</v>
      </c>
      <c r="U195" s="355" t="s">
        <v>507</v>
      </c>
      <c r="V195" s="346"/>
    </row>
    <row r="196" spans="1:22" x14ac:dyDescent="0.25">
      <c r="A196" s="542"/>
      <c r="B196" s="430">
        <v>8</v>
      </c>
      <c r="C196" s="431" t="s">
        <v>1137</v>
      </c>
      <c r="D196" s="432">
        <v>3380</v>
      </c>
      <c r="E196" s="363">
        <v>0</v>
      </c>
      <c r="F196" s="349">
        <f t="shared" si="496"/>
        <v>0</v>
      </c>
      <c r="G196" s="369">
        <v>1021.2085308056872</v>
      </c>
      <c r="H196" s="351">
        <f t="shared" si="497"/>
        <v>30.213270142180093</v>
      </c>
      <c r="I196" s="365">
        <v>40.047393364928908</v>
      </c>
      <c r="J196" s="351">
        <f t="shared" si="498"/>
        <v>1.1848341232227488</v>
      </c>
      <c r="K196" s="363">
        <v>0</v>
      </c>
      <c r="L196" s="351">
        <f t="shared" si="499"/>
        <v>0</v>
      </c>
      <c r="M196" s="363">
        <v>0</v>
      </c>
      <c r="N196" s="349">
        <f t="shared" si="500"/>
        <v>0</v>
      </c>
      <c r="O196" s="365">
        <v>0</v>
      </c>
      <c r="P196" s="351">
        <f t="shared" si="501"/>
        <v>0</v>
      </c>
      <c r="Q196" s="347">
        <f t="shared" si="502"/>
        <v>1061.2559241706163</v>
      </c>
      <c r="R196" s="351">
        <f t="shared" si="503"/>
        <v>31.398104265402846</v>
      </c>
      <c r="S196" s="347">
        <f t="shared" si="504"/>
        <v>2318.7440758293837</v>
      </c>
      <c r="T196" s="351">
        <f t="shared" si="505"/>
        <v>68.60189573459715</v>
      </c>
      <c r="U196" s="355" t="s">
        <v>507</v>
      </c>
      <c r="V196" s="346"/>
    </row>
    <row r="197" spans="1:22" s="367" customFormat="1" x14ac:dyDescent="0.25">
      <c r="A197" s="542"/>
      <c r="B197" s="545" t="s">
        <v>23</v>
      </c>
      <c r="C197" s="545"/>
      <c r="D197" s="379">
        <f>SUM(D189:D196)</f>
        <v>29666</v>
      </c>
      <c r="E197" s="371">
        <f>SUM(E189:E196)</f>
        <v>465.37072763644892</v>
      </c>
      <c r="F197" s="372">
        <f>SUM(F189:F196)/8</f>
        <v>1.7493633213169835</v>
      </c>
      <c r="G197" s="371">
        <f t="shared" ref="G197" si="506">SUM(G189:G196)</f>
        <v>10528.433629254565</v>
      </c>
      <c r="H197" s="372">
        <f t="shared" ref="H197" si="507">SUM(H189:H196)/8</f>
        <v>33.928065906298308</v>
      </c>
      <c r="I197" s="371">
        <f t="shared" ref="I197" si="508">SUM(I189:I196)</f>
        <v>1388.5829577682564</v>
      </c>
      <c r="J197" s="372">
        <f t="shared" ref="J197" si="509">SUM(J189:J196)/8</f>
        <v>6.2012114906984399</v>
      </c>
      <c r="K197" s="371">
        <f t="shared" ref="K197" si="510">SUM(K189:K196)</f>
        <v>13745.70974429757</v>
      </c>
      <c r="L197" s="372">
        <f t="shared" ref="L197" si="511">SUM(L189:L196)/8</f>
        <v>45.184702214778973</v>
      </c>
      <c r="M197" s="371">
        <f t="shared" ref="M197" si="512">SUM(M189:M196)</f>
        <v>0</v>
      </c>
      <c r="N197" s="372">
        <f t="shared" ref="N197" si="513">SUM(N189:N196)/8</f>
        <v>0</v>
      </c>
      <c r="O197" s="371">
        <f t="shared" ref="O197" si="514">SUM(O189:O196)</f>
        <v>0</v>
      </c>
      <c r="P197" s="372">
        <f t="shared" ref="P197" si="515">SUM(P189:P196)/8</f>
        <v>0</v>
      </c>
      <c r="Q197" s="371">
        <f t="shared" ref="Q197" si="516">SUM(Q189:Q196)</f>
        <v>26128.097058956839</v>
      </c>
      <c r="R197" s="372">
        <f t="shared" ref="R197" si="517">SUM(R189:R196)/8</f>
        <v>87.063342933092699</v>
      </c>
      <c r="S197" s="371">
        <f t="shared" ref="S197" si="518">SUM(S189:S196)</f>
        <v>3537.9029410431572</v>
      </c>
      <c r="T197" s="372">
        <f t="shared" ref="T197" si="519">SUM(T189:T196)/8</f>
        <v>12.936657066907289</v>
      </c>
      <c r="U197" s="379"/>
      <c r="V197" s="376"/>
    </row>
    <row r="198" spans="1:22" x14ac:dyDescent="0.25">
      <c r="A198" s="542">
        <v>23</v>
      </c>
      <c r="B198" s="544" t="s">
        <v>1138</v>
      </c>
      <c r="C198" s="544"/>
      <c r="D198" s="359"/>
      <c r="E198" s="359"/>
      <c r="F198" s="360"/>
      <c r="G198" s="359"/>
      <c r="H198" s="360"/>
      <c r="I198" s="359"/>
      <c r="J198" s="360"/>
      <c r="K198" s="359"/>
      <c r="L198" s="360"/>
      <c r="M198" s="359"/>
      <c r="N198" s="360"/>
      <c r="O198" s="359"/>
      <c r="P198" s="360"/>
      <c r="Q198" s="359"/>
      <c r="R198" s="359"/>
      <c r="S198" s="359"/>
      <c r="T198" s="360"/>
      <c r="U198" s="361"/>
      <c r="V198" s="361"/>
    </row>
    <row r="199" spans="1:22" x14ac:dyDescent="0.25">
      <c r="A199" s="542"/>
      <c r="B199" s="433">
        <v>1</v>
      </c>
      <c r="C199" s="434" t="s">
        <v>1139</v>
      </c>
      <c r="D199" s="435">
        <v>2241</v>
      </c>
      <c r="E199" s="363">
        <v>205.5654135338346</v>
      </c>
      <c r="F199" s="349">
        <f t="shared" ref="F199:F206" si="520">(E199*100)/D199</f>
        <v>9.1729323308270683</v>
      </c>
      <c r="G199" s="369">
        <v>1192.9533834586466</v>
      </c>
      <c r="H199" s="351">
        <f t="shared" ref="H199:H206" si="521">(G199*100)/D199</f>
        <v>53.233082706766915</v>
      </c>
      <c r="I199" s="365">
        <v>751.49323308270675</v>
      </c>
      <c r="J199" s="351">
        <f t="shared" ref="J199:J206" si="522">(I199*100)/D199</f>
        <v>33.533834586466163</v>
      </c>
      <c r="K199" s="363">
        <v>0</v>
      </c>
      <c r="L199" s="351">
        <f t="shared" ref="L199:L206" si="523">(K199*100)/D199</f>
        <v>0</v>
      </c>
      <c r="M199" s="363">
        <v>0</v>
      </c>
      <c r="N199" s="349">
        <f t="shared" ref="N199:N206" si="524">(M199*100)/D199</f>
        <v>0</v>
      </c>
      <c r="O199" s="365">
        <v>0</v>
      </c>
      <c r="P199" s="351">
        <f t="shared" ref="P199:P206" si="525">(O199*100)/D199</f>
        <v>0</v>
      </c>
      <c r="Q199" s="347">
        <f t="shared" ref="Q199:Q206" si="526">O199+M199+K199+I199+G199+E199</f>
        <v>2150.0120300751878</v>
      </c>
      <c r="R199" s="351">
        <f t="shared" ref="R199:R206" si="527">(Q199*100)/D199</f>
        <v>95.939849624060145</v>
      </c>
      <c r="S199" s="347">
        <f t="shared" ref="S199:S206" si="528">D199-Q199</f>
        <v>90.987969924812205</v>
      </c>
      <c r="T199" s="351">
        <f t="shared" ref="T199:T206" si="529">(S199*100)/D199</f>
        <v>4.0601503759398572</v>
      </c>
      <c r="U199" s="355" t="s">
        <v>507</v>
      </c>
      <c r="V199" s="346"/>
    </row>
    <row r="200" spans="1:22" x14ac:dyDescent="0.25">
      <c r="A200" s="542"/>
      <c r="B200" s="433">
        <v>2</v>
      </c>
      <c r="C200" s="434" t="s">
        <v>1140</v>
      </c>
      <c r="D200" s="435">
        <v>1493</v>
      </c>
      <c r="E200" s="363">
        <v>0</v>
      </c>
      <c r="F200" s="349">
        <f t="shared" si="520"/>
        <v>0</v>
      </c>
      <c r="G200" s="369">
        <v>1170.8024316109422</v>
      </c>
      <c r="H200" s="351">
        <f t="shared" si="521"/>
        <v>78.419452887538</v>
      </c>
      <c r="I200" s="365">
        <v>267.741641337386</v>
      </c>
      <c r="J200" s="351">
        <f t="shared" si="522"/>
        <v>17.933130699088142</v>
      </c>
      <c r="K200" s="363">
        <v>0</v>
      </c>
      <c r="L200" s="351">
        <f t="shared" si="523"/>
        <v>0</v>
      </c>
      <c r="M200" s="363">
        <v>0</v>
      </c>
      <c r="N200" s="349">
        <f t="shared" si="524"/>
        <v>0</v>
      </c>
      <c r="O200" s="365">
        <v>0</v>
      </c>
      <c r="P200" s="351">
        <f t="shared" si="525"/>
        <v>0</v>
      </c>
      <c r="Q200" s="347">
        <f t="shared" si="526"/>
        <v>1438.5440729483282</v>
      </c>
      <c r="R200" s="351">
        <f t="shared" si="527"/>
        <v>96.352583586626125</v>
      </c>
      <c r="S200" s="347">
        <f t="shared" si="528"/>
        <v>54.455927051671779</v>
      </c>
      <c r="T200" s="351">
        <f t="shared" si="529"/>
        <v>3.6474164133738634</v>
      </c>
      <c r="U200" s="355" t="s">
        <v>507</v>
      </c>
      <c r="V200" s="346"/>
    </row>
    <row r="201" spans="1:22" x14ac:dyDescent="0.25">
      <c r="A201" s="542"/>
      <c r="B201" s="433">
        <v>3</v>
      </c>
      <c r="C201" s="436" t="s">
        <v>1141</v>
      </c>
      <c r="D201" s="435">
        <v>3697</v>
      </c>
      <c r="E201" s="363">
        <v>0</v>
      </c>
      <c r="F201" s="349">
        <f t="shared" si="520"/>
        <v>0</v>
      </c>
      <c r="G201" s="369">
        <v>2999.3171206225684</v>
      </c>
      <c r="H201" s="351">
        <f t="shared" si="521"/>
        <v>81.128404669260703</v>
      </c>
      <c r="I201" s="365">
        <v>485.50097276264592</v>
      </c>
      <c r="J201" s="351">
        <f t="shared" si="522"/>
        <v>13.132295719844358</v>
      </c>
      <c r="K201" s="363">
        <v>0</v>
      </c>
      <c r="L201" s="351">
        <f t="shared" si="523"/>
        <v>0</v>
      </c>
      <c r="M201" s="363">
        <v>0</v>
      </c>
      <c r="N201" s="349">
        <f t="shared" si="524"/>
        <v>0</v>
      </c>
      <c r="O201" s="365">
        <v>0</v>
      </c>
      <c r="P201" s="351">
        <f t="shared" si="525"/>
        <v>0</v>
      </c>
      <c r="Q201" s="347">
        <f t="shared" si="526"/>
        <v>3484.8180933852145</v>
      </c>
      <c r="R201" s="351">
        <f t="shared" si="527"/>
        <v>94.260700389105068</v>
      </c>
      <c r="S201" s="347">
        <f t="shared" si="528"/>
        <v>212.18190661478548</v>
      </c>
      <c r="T201" s="351">
        <f t="shared" si="529"/>
        <v>5.7392996108949275</v>
      </c>
      <c r="U201" s="355" t="s">
        <v>507</v>
      </c>
      <c r="V201" s="346"/>
    </row>
    <row r="202" spans="1:22" x14ac:dyDescent="0.25">
      <c r="A202" s="542"/>
      <c r="B202" s="433">
        <v>4</v>
      </c>
      <c r="C202" s="434" t="s">
        <v>1142</v>
      </c>
      <c r="D202" s="435">
        <v>2759</v>
      </c>
      <c r="E202" s="363">
        <v>1779.0931586608444</v>
      </c>
      <c r="F202" s="349">
        <f t="shared" si="520"/>
        <v>64.483260553129554</v>
      </c>
      <c r="G202" s="369">
        <v>0</v>
      </c>
      <c r="H202" s="351">
        <f t="shared" si="521"/>
        <v>0</v>
      </c>
      <c r="I202" s="365">
        <v>843.36244541484723</v>
      </c>
      <c r="J202" s="351">
        <f t="shared" si="522"/>
        <v>30.567685589519652</v>
      </c>
      <c r="K202" s="363">
        <v>0</v>
      </c>
      <c r="L202" s="351">
        <f t="shared" si="523"/>
        <v>0</v>
      </c>
      <c r="M202" s="363">
        <v>0</v>
      </c>
      <c r="N202" s="349">
        <f t="shared" si="524"/>
        <v>0</v>
      </c>
      <c r="O202" s="365">
        <v>0</v>
      </c>
      <c r="P202" s="351">
        <f t="shared" si="525"/>
        <v>0</v>
      </c>
      <c r="Q202" s="347">
        <f t="shared" si="526"/>
        <v>2622.4556040756916</v>
      </c>
      <c r="R202" s="351">
        <f t="shared" si="527"/>
        <v>95.050946142649209</v>
      </c>
      <c r="S202" s="347">
        <f t="shared" si="528"/>
        <v>136.54439592430845</v>
      </c>
      <c r="T202" s="351">
        <f t="shared" si="529"/>
        <v>4.9490538573507958</v>
      </c>
      <c r="U202" s="355" t="s">
        <v>507</v>
      </c>
      <c r="V202" s="346"/>
    </row>
    <row r="203" spans="1:22" x14ac:dyDescent="0.25">
      <c r="A203" s="542"/>
      <c r="B203" s="433">
        <v>5</v>
      </c>
      <c r="C203" s="434" t="s">
        <v>1143</v>
      </c>
      <c r="D203" s="435">
        <v>1654</v>
      </c>
      <c r="E203" s="363">
        <v>296.64130434782612</v>
      </c>
      <c r="F203" s="349">
        <f t="shared" si="520"/>
        <v>17.934782608695652</v>
      </c>
      <c r="G203" s="369">
        <v>1015.7717391304349</v>
      </c>
      <c r="H203" s="351">
        <f t="shared" si="521"/>
        <v>61.413043478260875</v>
      </c>
      <c r="I203" s="365">
        <v>148.32065217391306</v>
      </c>
      <c r="J203" s="351">
        <f t="shared" si="522"/>
        <v>8.9673913043478262</v>
      </c>
      <c r="K203" s="363">
        <v>0</v>
      </c>
      <c r="L203" s="351">
        <f t="shared" si="523"/>
        <v>0</v>
      </c>
      <c r="M203" s="363">
        <v>0</v>
      </c>
      <c r="N203" s="349">
        <f t="shared" si="524"/>
        <v>0</v>
      </c>
      <c r="O203" s="365">
        <v>58.429347826086961</v>
      </c>
      <c r="P203" s="351">
        <f t="shared" si="525"/>
        <v>3.5326086956521743</v>
      </c>
      <c r="Q203" s="347">
        <f t="shared" si="526"/>
        <v>1519.163043478261</v>
      </c>
      <c r="R203" s="351">
        <f t="shared" si="527"/>
        <v>91.84782608695653</v>
      </c>
      <c r="S203" s="347">
        <f t="shared" si="528"/>
        <v>134.83695652173901</v>
      </c>
      <c r="T203" s="351">
        <f t="shared" si="529"/>
        <v>8.1521739130434714</v>
      </c>
      <c r="U203" s="355" t="s">
        <v>507</v>
      </c>
      <c r="V203" s="346"/>
    </row>
    <row r="204" spans="1:22" x14ac:dyDescent="0.25">
      <c r="A204" s="542"/>
      <c r="B204" s="433">
        <v>6</v>
      </c>
      <c r="C204" s="437" t="s">
        <v>1144</v>
      </c>
      <c r="D204" s="435">
        <v>3585</v>
      </c>
      <c r="E204" s="363">
        <v>0</v>
      </c>
      <c r="F204" s="349">
        <f t="shared" si="520"/>
        <v>0</v>
      </c>
      <c r="G204" s="369">
        <v>2152.4254473161031</v>
      </c>
      <c r="H204" s="351">
        <f t="shared" si="521"/>
        <v>60.03976143141152</v>
      </c>
      <c r="I204" s="365">
        <v>962.17693836978128</v>
      </c>
      <c r="J204" s="351">
        <f t="shared" si="522"/>
        <v>26.8389662027833</v>
      </c>
      <c r="K204" s="363">
        <v>349.23459244532802</v>
      </c>
      <c r="L204" s="351">
        <f t="shared" si="523"/>
        <v>9.7415506958250493</v>
      </c>
      <c r="M204" s="363">
        <v>0</v>
      </c>
      <c r="N204" s="349">
        <f t="shared" si="524"/>
        <v>0</v>
      </c>
      <c r="O204" s="365">
        <v>0</v>
      </c>
      <c r="P204" s="351">
        <f t="shared" si="525"/>
        <v>0</v>
      </c>
      <c r="Q204" s="347">
        <f t="shared" si="526"/>
        <v>3463.8369781312122</v>
      </c>
      <c r="R204" s="351">
        <f t="shared" si="527"/>
        <v>96.620278330019858</v>
      </c>
      <c r="S204" s="347">
        <f t="shared" si="528"/>
        <v>121.16302186878784</v>
      </c>
      <c r="T204" s="351">
        <f t="shared" si="529"/>
        <v>3.3797216699801349</v>
      </c>
      <c r="U204" s="355" t="s">
        <v>507</v>
      </c>
      <c r="V204" s="346"/>
    </row>
    <row r="205" spans="1:22" x14ac:dyDescent="0.25">
      <c r="A205" s="542"/>
      <c r="B205" s="433">
        <v>7</v>
      </c>
      <c r="C205" s="434" t="s">
        <v>1145</v>
      </c>
      <c r="D205" s="435">
        <v>4077</v>
      </c>
      <c r="E205" s="363">
        <v>0</v>
      </c>
      <c r="F205" s="349">
        <f t="shared" si="520"/>
        <v>0</v>
      </c>
      <c r="G205" s="369">
        <v>3784.0706713780924</v>
      </c>
      <c r="H205" s="351">
        <f t="shared" si="521"/>
        <v>92.815076560659605</v>
      </c>
      <c r="I205" s="365">
        <v>264.11660777385163</v>
      </c>
      <c r="J205" s="351">
        <f t="shared" si="522"/>
        <v>6.4782096584216733</v>
      </c>
      <c r="K205" s="363">
        <v>0</v>
      </c>
      <c r="L205" s="351">
        <f t="shared" si="523"/>
        <v>0</v>
      </c>
      <c r="M205" s="363">
        <v>0</v>
      </c>
      <c r="N205" s="349">
        <f t="shared" si="524"/>
        <v>0</v>
      </c>
      <c r="O205" s="365">
        <v>0</v>
      </c>
      <c r="P205" s="351">
        <f t="shared" si="525"/>
        <v>0</v>
      </c>
      <c r="Q205" s="347">
        <f t="shared" si="526"/>
        <v>4048.187279151944</v>
      </c>
      <c r="R205" s="351">
        <f t="shared" si="527"/>
        <v>99.293286219081281</v>
      </c>
      <c r="S205" s="347">
        <f t="shared" si="528"/>
        <v>28.81272084805596</v>
      </c>
      <c r="T205" s="351">
        <f t="shared" si="529"/>
        <v>0.70671378091871373</v>
      </c>
      <c r="U205" s="355" t="s">
        <v>507</v>
      </c>
      <c r="V205" s="346"/>
    </row>
    <row r="206" spans="1:22" x14ac:dyDescent="0.25">
      <c r="A206" s="542"/>
      <c r="B206" s="433">
        <v>8</v>
      </c>
      <c r="C206" s="434" t="s">
        <v>1146</v>
      </c>
      <c r="D206" s="435">
        <v>2859</v>
      </c>
      <c r="E206" s="363">
        <v>0</v>
      </c>
      <c r="F206" s="349">
        <f t="shared" si="520"/>
        <v>0</v>
      </c>
      <c r="G206" s="369">
        <v>1707.8264900662252</v>
      </c>
      <c r="H206" s="351">
        <f t="shared" si="521"/>
        <v>59.735099337748345</v>
      </c>
      <c r="I206" s="365">
        <v>999.70331125827818</v>
      </c>
      <c r="J206" s="351">
        <f t="shared" si="522"/>
        <v>34.966887417218544</v>
      </c>
      <c r="K206" s="363">
        <v>0</v>
      </c>
      <c r="L206" s="351">
        <f t="shared" si="523"/>
        <v>0</v>
      </c>
      <c r="M206" s="363">
        <v>0</v>
      </c>
      <c r="N206" s="349">
        <f t="shared" si="524"/>
        <v>0</v>
      </c>
      <c r="O206" s="365">
        <v>0</v>
      </c>
      <c r="P206" s="351">
        <f t="shared" si="525"/>
        <v>0</v>
      </c>
      <c r="Q206" s="347">
        <f t="shared" si="526"/>
        <v>2707.5298013245033</v>
      </c>
      <c r="R206" s="351">
        <f t="shared" si="527"/>
        <v>94.701986754966896</v>
      </c>
      <c r="S206" s="347">
        <f t="shared" si="528"/>
        <v>151.4701986754967</v>
      </c>
      <c r="T206" s="351">
        <f t="shared" si="529"/>
        <v>5.298013245033113</v>
      </c>
      <c r="U206" s="355" t="s">
        <v>507</v>
      </c>
      <c r="V206" s="346"/>
    </row>
    <row r="207" spans="1:22" s="367" customFormat="1" x14ac:dyDescent="0.25">
      <c r="A207" s="543"/>
      <c r="B207" s="545" t="s">
        <v>23</v>
      </c>
      <c r="C207" s="545"/>
      <c r="D207" s="379">
        <f>SUM(D199:D206)</f>
        <v>22365</v>
      </c>
      <c r="E207" s="371">
        <f>SUM(E199:E206)</f>
        <v>2281.299876542505</v>
      </c>
      <c r="F207" s="372">
        <f>SUM(F199:F206)/8</f>
        <v>11.448871936581535</v>
      </c>
      <c r="G207" s="371">
        <f t="shared" ref="G207" si="530">SUM(G199:G206)</f>
        <v>14023.167283583012</v>
      </c>
      <c r="H207" s="372">
        <f t="shared" ref="H207" si="531">SUM(H199:H206)/8</f>
        <v>60.847990133955747</v>
      </c>
      <c r="I207" s="371">
        <f t="shared" ref="I207" si="532">SUM(I199:I206)</f>
        <v>4722.4158021734102</v>
      </c>
      <c r="J207" s="372">
        <f t="shared" ref="J207" si="533">SUM(J199:J206)/8</f>
        <v>21.552300147211206</v>
      </c>
      <c r="K207" s="371">
        <f t="shared" ref="K207" si="534">SUM(K199:K206)</f>
        <v>349.23459244532802</v>
      </c>
      <c r="L207" s="372">
        <f t="shared" ref="L207" si="535">SUM(L199:L206)/8</f>
        <v>1.2176938369781312</v>
      </c>
      <c r="M207" s="371">
        <f t="shared" ref="M207" si="536">SUM(M199:M206)</f>
        <v>0</v>
      </c>
      <c r="N207" s="372">
        <f t="shared" ref="N207" si="537">SUM(N199:N206)/8</f>
        <v>0</v>
      </c>
      <c r="O207" s="371">
        <f t="shared" ref="O207" si="538">SUM(O199:O206)</f>
        <v>58.429347826086961</v>
      </c>
      <c r="P207" s="372">
        <f t="shared" ref="P207" si="539">SUM(P199:P206)/8</f>
        <v>0.44157608695652178</v>
      </c>
      <c r="Q207" s="371">
        <f t="shared" ref="Q207" si="540">SUM(Q199:Q206)</f>
        <v>21434.546902570342</v>
      </c>
      <c r="R207" s="372">
        <f t="shared" ref="R207" si="541">SUM(R199:R206)/8</f>
        <v>95.508432141683159</v>
      </c>
      <c r="S207" s="371">
        <f t="shared" ref="S207" si="542">SUM(S199:S206)</f>
        <v>930.45309742965742</v>
      </c>
      <c r="T207" s="372">
        <f t="shared" ref="T207" si="543">SUM(T199:T206)/8</f>
        <v>4.4915678583168601</v>
      </c>
      <c r="U207" s="379"/>
      <c r="V207" s="376"/>
    </row>
    <row r="208" spans="1:22" x14ac:dyDescent="0.25">
      <c r="A208" s="546">
        <v>24</v>
      </c>
      <c r="B208" s="544" t="s">
        <v>1147</v>
      </c>
      <c r="C208" s="544"/>
      <c r="D208" s="359"/>
      <c r="E208" s="359"/>
      <c r="F208" s="360"/>
      <c r="G208" s="359"/>
      <c r="H208" s="360"/>
      <c r="I208" s="359"/>
      <c r="J208" s="360"/>
      <c r="K208" s="359"/>
      <c r="L208" s="360"/>
      <c r="M208" s="359"/>
      <c r="N208" s="360"/>
      <c r="O208" s="359"/>
      <c r="P208" s="360"/>
      <c r="Q208" s="359"/>
      <c r="R208" s="359"/>
      <c r="S208" s="359"/>
      <c r="T208" s="360"/>
      <c r="U208" s="361"/>
      <c r="V208" s="361"/>
    </row>
    <row r="209" spans="1:22" x14ac:dyDescent="0.25">
      <c r="A209" s="547"/>
      <c r="B209" s="438">
        <v>1</v>
      </c>
      <c r="C209" s="439" t="s">
        <v>1148</v>
      </c>
      <c r="D209" s="440">
        <v>1703</v>
      </c>
      <c r="E209" s="363">
        <v>0</v>
      </c>
      <c r="F209" s="349">
        <f t="shared" ref="F209:F214" si="544">(E209*100)/D209</f>
        <v>0</v>
      </c>
      <c r="G209" s="369">
        <v>0</v>
      </c>
      <c r="H209" s="351">
        <f t="shared" ref="H209:H215" si="545">(G209*100)/D209</f>
        <v>0</v>
      </c>
      <c r="I209" s="365">
        <v>1691.6466666666668</v>
      </c>
      <c r="J209" s="351">
        <f t="shared" ref="J209:J215" si="546">(I209*100)/D209</f>
        <v>99.333333333333343</v>
      </c>
      <c r="K209" s="363">
        <v>0</v>
      </c>
      <c r="L209" s="351">
        <f t="shared" ref="L209:L215" si="547">(K209*100)/D209</f>
        <v>0</v>
      </c>
      <c r="M209" s="363">
        <v>0</v>
      </c>
      <c r="N209" s="349">
        <f t="shared" ref="N209:N215" si="548">(M209*100)/D209</f>
        <v>0</v>
      </c>
      <c r="O209" s="365">
        <v>0</v>
      </c>
      <c r="P209" s="351">
        <f t="shared" ref="P209:P215" si="549">(O209*100)/D209</f>
        <v>0</v>
      </c>
      <c r="Q209" s="347">
        <f t="shared" ref="Q209:Q215" si="550">O209+M209+K209+I209+G209+E209</f>
        <v>1691.6466666666668</v>
      </c>
      <c r="R209" s="351">
        <f t="shared" ref="R209:R215" si="551">(Q209*100)/D209</f>
        <v>99.333333333333343</v>
      </c>
      <c r="S209" s="347">
        <f t="shared" ref="S209:S215" si="552">D209-Q209</f>
        <v>11.353333333333239</v>
      </c>
      <c r="T209" s="351">
        <f t="shared" ref="T209:T215" si="553">(S209*100)/D209</f>
        <v>0.66666666666666119</v>
      </c>
      <c r="U209" s="355" t="s">
        <v>507</v>
      </c>
      <c r="V209" s="346"/>
    </row>
    <row r="210" spans="1:22" x14ac:dyDescent="0.25">
      <c r="A210" s="547"/>
      <c r="B210" s="438">
        <v>2</v>
      </c>
      <c r="C210" s="439" t="s">
        <v>1149</v>
      </c>
      <c r="D210" s="440">
        <v>1001</v>
      </c>
      <c r="E210" s="363">
        <v>0</v>
      </c>
      <c r="F210" s="349">
        <f t="shared" si="544"/>
        <v>0</v>
      </c>
      <c r="G210" s="369">
        <v>0</v>
      </c>
      <c r="H210" s="351">
        <f t="shared" si="545"/>
        <v>0</v>
      </c>
      <c r="I210" s="365">
        <v>994.23648648648646</v>
      </c>
      <c r="J210" s="351">
        <f t="shared" si="546"/>
        <v>99.324324324324309</v>
      </c>
      <c r="K210" s="363">
        <v>0</v>
      </c>
      <c r="L210" s="351">
        <f t="shared" si="547"/>
        <v>0</v>
      </c>
      <c r="M210" s="363">
        <v>0</v>
      </c>
      <c r="N210" s="349">
        <f t="shared" si="548"/>
        <v>0</v>
      </c>
      <c r="O210" s="365">
        <v>0</v>
      </c>
      <c r="P210" s="351">
        <f t="shared" si="549"/>
        <v>0</v>
      </c>
      <c r="Q210" s="347">
        <f t="shared" si="550"/>
        <v>994.23648648648646</v>
      </c>
      <c r="R210" s="351">
        <f t="shared" si="551"/>
        <v>99.324324324324309</v>
      </c>
      <c r="S210" s="347">
        <f t="shared" si="552"/>
        <v>6.7635135135135442</v>
      </c>
      <c r="T210" s="351">
        <f t="shared" si="553"/>
        <v>0.67567567567567877</v>
      </c>
      <c r="U210" s="355" t="s">
        <v>507</v>
      </c>
      <c r="V210" s="346"/>
    </row>
    <row r="211" spans="1:22" x14ac:dyDescent="0.25">
      <c r="A211" s="547"/>
      <c r="B211" s="438">
        <v>3</v>
      </c>
      <c r="C211" s="441" t="s">
        <v>1150</v>
      </c>
      <c r="D211" s="440">
        <v>7926</v>
      </c>
      <c r="E211" s="363">
        <v>1361.3358778625955</v>
      </c>
      <c r="F211" s="349">
        <f t="shared" si="544"/>
        <v>17.175572519083968</v>
      </c>
      <c r="G211" s="369">
        <v>194.47655398037077</v>
      </c>
      <c r="H211" s="351">
        <f t="shared" si="545"/>
        <v>2.4536532170119956</v>
      </c>
      <c r="I211" s="365">
        <v>6283.7535441657574</v>
      </c>
      <c r="J211" s="351">
        <f t="shared" si="546"/>
        <v>79.280261723009815</v>
      </c>
      <c r="K211" s="363">
        <v>0</v>
      </c>
      <c r="L211" s="351">
        <f t="shared" si="547"/>
        <v>0</v>
      </c>
      <c r="M211" s="363">
        <v>0</v>
      </c>
      <c r="N211" s="349">
        <f t="shared" si="548"/>
        <v>0</v>
      </c>
      <c r="O211" s="365">
        <v>0</v>
      </c>
      <c r="P211" s="351">
        <f t="shared" si="549"/>
        <v>0</v>
      </c>
      <c r="Q211" s="347">
        <f t="shared" si="550"/>
        <v>7839.5659760087237</v>
      </c>
      <c r="R211" s="351">
        <f t="shared" si="551"/>
        <v>98.909487459105776</v>
      </c>
      <c r="S211" s="347">
        <f t="shared" si="552"/>
        <v>86.434023991276263</v>
      </c>
      <c r="T211" s="351">
        <f t="shared" si="553"/>
        <v>1.0905125408942249</v>
      </c>
      <c r="U211" s="355" t="s">
        <v>507</v>
      </c>
      <c r="V211" s="346"/>
    </row>
    <row r="212" spans="1:22" x14ac:dyDescent="0.25">
      <c r="A212" s="547"/>
      <c r="B212" s="438">
        <v>4</v>
      </c>
      <c r="C212" s="439" t="s">
        <v>1151</v>
      </c>
      <c r="D212" s="440">
        <v>2099</v>
      </c>
      <c r="E212" s="363">
        <v>0</v>
      </c>
      <c r="F212" s="349">
        <f t="shared" si="544"/>
        <v>0</v>
      </c>
      <c r="G212" s="369">
        <v>0</v>
      </c>
      <c r="H212" s="351">
        <f t="shared" si="545"/>
        <v>0</v>
      </c>
      <c r="I212" s="365">
        <v>2052.636546184739</v>
      </c>
      <c r="J212" s="351">
        <f t="shared" si="546"/>
        <v>97.791164658634543</v>
      </c>
      <c r="K212" s="363">
        <v>0</v>
      </c>
      <c r="L212" s="351">
        <f t="shared" si="547"/>
        <v>0</v>
      </c>
      <c r="M212" s="363">
        <v>0</v>
      </c>
      <c r="N212" s="349">
        <f t="shared" si="548"/>
        <v>0</v>
      </c>
      <c r="O212" s="365">
        <v>0</v>
      </c>
      <c r="P212" s="351">
        <f t="shared" si="549"/>
        <v>0</v>
      </c>
      <c r="Q212" s="347">
        <f t="shared" si="550"/>
        <v>2052.636546184739</v>
      </c>
      <c r="R212" s="351">
        <f t="shared" si="551"/>
        <v>97.791164658634543</v>
      </c>
      <c r="S212" s="347">
        <f t="shared" si="552"/>
        <v>46.363453815260982</v>
      </c>
      <c r="T212" s="351">
        <f t="shared" si="553"/>
        <v>2.2088353413654587</v>
      </c>
      <c r="U212" s="355" t="s">
        <v>507</v>
      </c>
      <c r="V212" s="346"/>
    </row>
    <row r="213" spans="1:22" x14ac:dyDescent="0.25">
      <c r="A213" s="547"/>
      <c r="B213" s="438">
        <v>5</v>
      </c>
      <c r="C213" s="439" t="s">
        <v>1152</v>
      </c>
      <c r="D213" s="440">
        <v>13854</v>
      </c>
      <c r="E213" s="363">
        <v>6051.468401486989</v>
      </c>
      <c r="F213" s="349">
        <f t="shared" si="544"/>
        <v>43.680297397769515</v>
      </c>
      <c r="G213" s="369">
        <v>0</v>
      </c>
      <c r="H213" s="351">
        <f t="shared" si="545"/>
        <v>0</v>
      </c>
      <c r="I213" s="365">
        <v>7609.3996282527887</v>
      </c>
      <c r="J213" s="351">
        <f t="shared" si="546"/>
        <v>54.92565055762082</v>
      </c>
      <c r="K213" s="363">
        <v>0</v>
      </c>
      <c r="L213" s="351">
        <f t="shared" si="547"/>
        <v>0</v>
      </c>
      <c r="M213" s="363">
        <v>0</v>
      </c>
      <c r="N213" s="349">
        <f t="shared" si="548"/>
        <v>0</v>
      </c>
      <c r="O213" s="365">
        <v>0</v>
      </c>
      <c r="P213" s="351">
        <f t="shared" si="549"/>
        <v>0</v>
      </c>
      <c r="Q213" s="347">
        <f t="shared" si="550"/>
        <v>13660.868029739777</v>
      </c>
      <c r="R213" s="351">
        <f t="shared" si="551"/>
        <v>98.605947955390334</v>
      </c>
      <c r="S213" s="347">
        <f t="shared" si="552"/>
        <v>193.13197026022317</v>
      </c>
      <c r="T213" s="351">
        <f t="shared" si="553"/>
        <v>1.3940520446096663</v>
      </c>
      <c r="U213" s="355" t="s">
        <v>507</v>
      </c>
      <c r="V213" s="346"/>
    </row>
    <row r="214" spans="1:22" x14ac:dyDescent="0.25">
      <c r="A214" s="547"/>
      <c r="B214" s="438">
        <v>6</v>
      </c>
      <c r="C214" s="439" t="s">
        <v>1153</v>
      </c>
      <c r="D214" s="440">
        <v>4442</v>
      </c>
      <c r="E214" s="363">
        <v>474.19160583941607</v>
      </c>
      <c r="F214" s="349">
        <f t="shared" si="544"/>
        <v>10.675182481751825</v>
      </c>
      <c r="G214" s="369">
        <v>81.058394160583944</v>
      </c>
      <c r="H214" s="351">
        <f t="shared" si="545"/>
        <v>1.8248175182481754</v>
      </c>
      <c r="I214" s="365">
        <v>3436.8759124087592</v>
      </c>
      <c r="J214" s="351">
        <f t="shared" si="546"/>
        <v>77.372262773722625</v>
      </c>
      <c r="K214" s="363">
        <v>0</v>
      </c>
      <c r="L214" s="351">
        <f t="shared" si="547"/>
        <v>0</v>
      </c>
      <c r="M214" s="363">
        <v>0</v>
      </c>
      <c r="N214" s="349">
        <f t="shared" si="548"/>
        <v>0</v>
      </c>
      <c r="O214" s="365">
        <v>393.13321167883214</v>
      </c>
      <c r="P214" s="351">
        <f t="shared" si="549"/>
        <v>8.850364963503651</v>
      </c>
      <c r="Q214" s="347">
        <f t="shared" si="550"/>
        <v>4385.2591240875918</v>
      </c>
      <c r="R214" s="351">
        <f t="shared" si="551"/>
        <v>98.72262773722629</v>
      </c>
      <c r="S214" s="347">
        <f t="shared" si="552"/>
        <v>56.740875912408228</v>
      </c>
      <c r="T214" s="351">
        <f t="shared" si="553"/>
        <v>1.2773722627737107</v>
      </c>
      <c r="U214" s="355" t="s">
        <v>507</v>
      </c>
      <c r="V214" s="346"/>
    </row>
    <row r="215" spans="1:22" x14ac:dyDescent="0.25">
      <c r="A215" s="547"/>
      <c r="B215" s="438">
        <v>7</v>
      </c>
      <c r="C215" s="441" t="s">
        <v>1154</v>
      </c>
      <c r="D215" s="440">
        <v>1681</v>
      </c>
      <c r="E215" s="363">
        <v>0</v>
      </c>
      <c r="F215" s="349">
        <f>(E215*100)/D215/7</f>
        <v>0</v>
      </c>
      <c r="G215" s="369">
        <v>0</v>
      </c>
      <c r="H215" s="351">
        <f t="shared" si="545"/>
        <v>0</v>
      </c>
      <c r="I215" s="365">
        <v>1644.296943231441</v>
      </c>
      <c r="J215" s="351">
        <f t="shared" si="546"/>
        <v>97.816593886462883</v>
      </c>
      <c r="K215" s="363">
        <v>0</v>
      </c>
      <c r="L215" s="351">
        <f t="shared" si="547"/>
        <v>0</v>
      </c>
      <c r="M215" s="363">
        <v>0</v>
      </c>
      <c r="N215" s="349">
        <f t="shared" si="548"/>
        <v>0</v>
      </c>
      <c r="O215" s="365">
        <v>0</v>
      </c>
      <c r="P215" s="351">
        <f t="shared" si="549"/>
        <v>0</v>
      </c>
      <c r="Q215" s="347">
        <f t="shared" si="550"/>
        <v>1644.296943231441</v>
      </c>
      <c r="R215" s="351">
        <f t="shared" si="551"/>
        <v>97.816593886462883</v>
      </c>
      <c r="S215" s="347">
        <f t="shared" si="552"/>
        <v>36.703056768559009</v>
      </c>
      <c r="T215" s="351">
        <f t="shared" si="553"/>
        <v>2.1834061135371212</v>
      </c>
      <c r="U215" s="355" t="s">
        <v>507</v>
      </c>
      <c r="V215" s="346"/>
    </row>
    <row r="216" spans="1:22" x14ac:dyDescent="0.25">
      <c r="A216" s="548"/>
      <c r="B216" s="545" t="s">
        <v>23</v>
      </c>
      <c r="C216" s="545"/>
      <c r="D216" s="379">
        <f>SUM(D209:D215)</f>
        <v>32706</v>
      </c>
      <c r="E216" s="379">
        <f>SUM(E209:E215)</f>
        <v>7886.9958851890005</v>
      </c>
      <c r="F216" s="442">
        <f>SUM(F209:F215)/7</f>
        <v>10.21872177122933</v>
      </c>
      <c r="G216" s="379">
        <f t="shared" ref="G216" si="554">SUM(G209:G215)</f>
        <v>275.53494814095473</v>
      </c>
      <c r="H216" s="442">
        <f t="shared" ref="H216" si="555">SUM(H209:H215)/7</f>
        <v>0.61121010503716733</v>
      </c>
      <c r="I216" s="379">
        <f t="shared" ref="I216" si="556">SUM(I209:I215)</f>
        <v>23712.845727396638</v>
      </c>
      <c r="J216" s="442">
        <f t="shared" ref="J216" si="557">SUM(J209:J215)/7</f>
        <v>86.549084465301192</v>
      </c>
      <c r="K216" s="379">
        <f t="shared" ref="K216" si="558">SUM(K209:K215)</f>
        <v>0</v>
      </c>
      <c r="L216" s="442">
        <f t="shared" ref="L216" si="559">SUM(L209:L215)/7</f>
        <v>0</v>
      </c>
      <c r="M216" s="379">
        <f t="shared" ref="M216" si="560">SUM(M209:M215)</f>
        <v>0</v>
      </c>
      <c r="N216" s="442">
        <f t="shared" ref="N216" si="561">SUM(N209:N215)/7</f>
        <v>0</v>
      </c>
      <c r="O216" s="379">
        <f t="shared" ref="O216" si="562">SUM(O209:O215)</f>
        <v>393.13321167883214</v>
      </c>
      <c r="P216" s="442">
        <f t="shared" ref="P216" si="563">SUM(P209:P215)/7</f>
        <v>1.2643378519290931</v>
      </c>
      <c r="Q216" s="379">
        <f t="shared" ref="Q216" si="564">SUM(Q209:Q215)</f>
        <v>32268.509772405425</v>
      </c>
      <c r="R216" s="442">
        <f t="shared" ref="R216" si="565">SUM(R209:R215)/7</f>
        <v>98.643354193496776</v>
      </c>
      <c r="S216" s="379">
        <f t="shared" ref="S216" si="566">SUM(S209:S215)</f>
        <v>437.49022759457443</v>
      </c>
      <c r="T216" s="442">
        <f t="shared" ref="T216" si="567">SUM(T209:T215)/7</f>
        <v>1.3566458065032172</v>
      </c>
      <c r="U216" s="379"/>
      <c r="V216" s="376"/>
    </row>
    <row r="217" spans="1:22" x14ac:dyDescent="0.25">
      <c r="A217" s="50"/>
      <c r="B217" s="541" t="s">
        <v>25</v>
      </c>
      <c r="C217" s="541"/>
      <c r="D217" s="356">
        <f>D207+D197+D187+D179+D168+D162+D152+D142+D134+D216+D128+D122+D113+D106+D100+D86+D78+D66+D57+D51+D45+D38+D25+D13</f>
        <v>473280.8</v>
      </c>
      <c r="E217" s="356">
        <f>E207+E197+E187+E179+E168+E162+E152+E142+E134+E128+E122+E113+E106+E100+E86+E78+E66+E57+E51+E45+E38+E25+E13+E216</f>
        <v>89681.072454802037</v>
      </c>
      <c r="F217" s="357">
        <f>(F207+F197+F187+F179+F168+F162+F152+F142+F134+F128+F122+F113+F106+F100+F86+F78+F66+F57+F51+F45+F38+F25+F13+F216)/24</f>
        <v>11.031755097585689</v>
      </c>
      <c r="G217" s="356">
        <f t="shared" ref="G217" si="568">G207+G197+G187+G179+G168+G162+G152+G142+G134+G128+G122+G113+G106+G100+G86+G78+G66+G57+G51+G45+G38+G25+G13+G216</f>
        <v>80504.608727655504</v>
      </c>
      <c r="H217" s="357">
        <f t="shared" ref="H217" si="569">(H207+H197+H187+H179+H168+H162+H152+H142+H134+H128+H122+H113+H106+H100+H86+H78+H66+H57+H51+H45+H38+H25+H13+H216)/24</f>
        <v>22.442668280900062</v>
      </c>
      <c r="I217" s="356">
        <f t="shared" ref="I217" si="570">I207+I197+I187+I179+I168+I162+I152+I142+I134+I128+I122+I113+I106+I100+I86+I78+I66+I57+I51+I45+I38+I25+I13+I216</f>
        <v>179998.48319000565</v>
      </c>
      <c r="J217" s="357">
        <f t="shared" ref="J217" si="571">(J207+J197+J187+J179+J168+J162+J152+J142+J134+J128+J122+J113+J106+J100+J86+J78+J66+J57+J51+J45+J38+J25+J13+J216)/24</f>
        <v>36.533870303867296</v>
      </c>
      <c r="K217" s="356">
        <f t="shared" ref="K217" si="572">K207+K197+K187+K179+K168+K162+K152+K142+K134+K128+K122+K113+K106+K100+K86+K78+K66+K57+K51+K45+K38+K25+K13+K216</f>
        <v>37216.085201935428</v>
      </c>
      <c r="L217" s="357">
        <f t="shared" ref="L217" si="573">(L207+L197+L187+L179+L168+L162+L152+L142+L134+L128+L122+L113+L106+L100+L86+L78+L66+L57+L51+L45+L38+L25+L13+L216)/24</f>
        <v>6.4514803828343013</v>
      </c>
      <c r="M217" s="356">
        <f t="shared" ref="M217" si="574">M207+M197+M187+M179+M168+M162+M152+M142+M134+M128+M122+M113+M106+M100+M86+M78+M66+M57+M51+M45+M38+M25+M13+M216</f>
        <v>6959.2853970120341</v>
      </c>
      <c r="N217" s="357">
        <f t="shared" ref="N217" si="575">(N207+N197+N187+N179+N168+N162+N152+N142+N134+N128+N122+N113+N106+N100+N86+N78+N66+N57+N51+N45+N38+N25+N13+N216)/24</f>
        <v>4.2250195525683081</v>
      </c>
      <c r="O217" s="356">
        <f t="shared" ref="O217" si="576">O207+O197+O187+O179+O168+O162+O152+O142+O134+O128+O122+O113+O106+O100+O86+O78+O66+O57+O51+O45+O38+O25+O13+O216</f>
        <v>2819.1464679532205</v>
      </c>
      <c r="P217" s="357">
        <f t="shared" ref="P217" si="577">(P207+P197+P187+P179+P168+P162+P152+P142+P134+P128+P122+P113+P106+P100+P86+P78+P66+P57+P51+P45+P38+P25+P13+P216)/24</f>
        <v>1.0282082655311409</v>
      </c>
      <c r="Q217" s="356">
        <f t="shared" ref="Q217" si="578">Q207+Q197+Q187+Q179+Q168+Q162+Q152+Q142+Q134+Q128+Q122+Q113+Q106+Q100+Q86+Q78+Q66+Q57+Q51+Q45+Q38+Q25+Q13+Q216</f>
        <v>397178.68143936398</v>
      </c>
      <c r="R217" s="357">
        <f t="shared" ref="R217" si="579">(R207+R197+R187+R179+R168+R162+R152+R142+R134+R128+R122+R113+R106+R100+R86+R78+R66+R57+R51+R45+R38+R25+R13+R216)/24</f>
        <v>81.713001883286807</v>
      </c>
      <c r="S217" s="356">
        <f t="shared" ref="S217" si="580">S207+S197+S187+S179+S168+S162+S152+S142+S134+S128+S122+S113+S106+S100+S86+S78+S66+S57+S51+S45+S38+S25+S13+S216</f>
        <v>64437.118560636132</v>
      </c>
      <c r="T217" s="357">
        <f t="shared" ref="T217" si="581">(T207+T197+T187+T179+T168+T162+T152+T142+T134+T128+T122+T113+T106+T100+T86+T78+T66+T57+T51+T45+T38+T25+T13+T216)/24</f>
        <v>16.501283830998926</v>
      </c>
      <c r="U217" s="358"/>
      <c r="V217" s="358"/>
    </row>
  </sheetData>
  <mergeCells count="88">
    <mergeCell ref="A1:A3"/>
    <mergeCell ref="B1:C3"/>
    <mergeCell ref="D1:D3"/>
    <mergeCell ref="E1:H1"/>
    <mergeCell ref="I1:P1"/>
    <mergeCell ref="S1:T2"/>
    <mergeCell ref="U1:V2"/>
    <mergeCell ref="E2:F2"/>
    <mergeCell ref="G2:H2"/>
    <mergeCell ref="I2:J2"/>
    <mergeCell ref="K2:L2"/>
    <mergeCell ref="M2:N2"/>
    <mergeCell ref="O2:P2"/>
    <mergeCell ref="Q1:R2"/>
    <mergeCell ref="A4:A12"/>
    <mergeCell ref="B4:C4"/>
    <mergeCell ref="A13:A25"/>
    <mergeCell ref="B13:C13"/>
    <mergeCell ref="B14:C14"/>
    <mergeCell ref="B25:C25"/>
    <mergeCell ref="A26:A38"/>
    <mergeCell ref="B26:C26"/>
    <mergeCell ref="B38:C38"/>
    <mergeCell ref="A39:A45"/>
    <mergeCell ref="B39:C39"/>
    <mergeCell ref="B45:C45"/>
    <mergeCell ref="A46:A51"/>
    <mergeCell ref="B46:C46"/>
    <mergeCell ref="B51:C51"/>
    <mergeCell ref="A52:A57"/>
    <mergeCell ref="B52:C52"/>
    <mergeCell ref="B57:C57"/>
    <mergeCell ref="A58:A66"/>
    <mergeCell ref="B58:C58"/>
    <mergeCell ref="B66:C66"/>
    <mergeCell ref="A67:A78"/>
    <mergeCell ref="B67:C67"/>
    <mergeCell ref="B78:C78"/>
    <mergeCell ref="A79:A86"/>
    <mergeCell ref="B79:C79"/>
    <mergeCell ref="B86:C86"/>
    <mergeCell ref="A87:A100"/>
    <mergeCell ref="B87:C87"/>
    <mergeCell ref="B100:C100"/>
    <mergeCell ref="A101:A106"/>
    <mergeCell ref="B101:C101"/>
    <mergeCell ref="B106:C106"/>
    <mergeCell ref="A107:A113"/>
    <mergeCell ref="B107:C107"/>
    <mergeCell ref="B113:C113"/>
    <mergeCell ref="A114:A122"/>
    <mergeCell ref="B114:C114"/>
    <mergeCell ref="B122:C122"/>
    <mergeCell ref="A123:A128"/>
    <mergeCell ref="B123:C123"/>
    <mergeCell ref="B128:C128"/>
    <mergeCell ref="A159:A162"/>
    <mergeCell ref="B162:C162"/>
    <mergeCell ref="A129:A134"/>
    <mergeCell ref="B129:C129"/>
    <mergeCell ref="B134:C134"/>
    <mergeCell ref="A135:A142"/>
    <mergeCell ref="B135:C135"/>
    <mergeCell ref="B142:C142"/>
    <mergeCell ref="A143:A153"/>
    <mergeCell ref="B143:C143"/>
    <mergeCell ref="B152:C152"/>
    <mergeCell ref="B153:C153"/>
    <mergeCell ref="A154:A158"/>
    <mergeCell ref="A163:A168"/>
    <mergeCell ref="B163:C163"/>
    <mergeCell ref="B168:C168"/>
    <mergeCell ref="A169:A179"/>
    <mergeCell ref="B169:C169"/>
    <mergeCell ref="B179:C179"/>
    <mergeCell ref="A180:A187"/>
    <mergeCell ref="B180:C180"/>
    <mergeCell ref="B187:C187"/>
    <mergeCell ref="A188:A197"/>
    <mergeCell ref="B188:C188"/>
    <mergeCell ref="B197:C197"/>
    <mergeCell ref="B217:C217"/>
    <mergeCell ref="A198:A207"/>
    <mergeCell ref="B198:C198"/>
    <mergeCell ref="B207:C207"/>
    <mergeCell ref="A208:A216"/>
    <mergeCell ref="B208:C208"/>
    <mergeCell ref="B216:C216"/>
  </mergeCells>
  <pageMargins left="0.25" right="0.25" top="0.75" bottom="0.75" header="0.3" footer="0.3"/>
  <pageSetup paperSize="175" scale="8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List Kab.</vt:lpstr>
      <vt:lpstr>Dompu</vt:lpstr>
      <vt:lpstr>Bima</vt:lpstr>
      <vt:lpstr>Sumbawa Barat</vt:lpstr>
      <vt:lpstr>Lombok Barat</vt:lpstr>
      <vt:lpstr>Lombok Utara</vt:lpstr>
      <vt:lpstr>Lombok Tengah</vt:lpstr>
      <vt:lpstr>Sumbawa</vt:lpstr>
      <vt:lpstr>Dompu!Print_Area</vt:lpstr>
      <vt:lpstr>'Lombok Barat'!Print_Area</vt:lpstr>
      <vt:lpstr>'Lombok Tengah'!Print_Area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2020-07-23T01:17:29Z</cp:lastPrinted>
  <dcterms:created xsi:type="dcterms:W3CDTF">2020-03-19T07:11:22Z</dcterms:created>
  <dcterms:modified xsi:type="dcterms:W3CDTF">2020-07-24T02:31:50Z</dcterms:modified>
</cp:coreProperties>
</file>