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Data SDA\01. Infra Struktur SDA DPU NTB\8. Data DI &amp; Skema\"/>
    </mc:Choice>
  </mc:AlternateContent>
  <bookViews>
    <workbookView xWindow="912" yWindow="120" windowWidth="8712" windowHeight="4212" tabRatio="824" firstSheet="1" activeTab="1"/>
  </bookViews>
  <sheets>
    <sheet name="RPU" sheetId="82" state="hidden" r:id="rId1"/>
    <sheet name="Indeks Kinerja" sheetId="80" r:id="rId2"/>
    <sheet name="Kerusakan Fisik" sheetId="100" r:id="rId3"/>
    <sheet name="kurva S" sheetId="81" state="hidden" r:id="rId4"/>
    <sheet name="buku bantu-26.25" sheetId="99" state="hidden" r:id="rId5"/>
    <sheet name="Korekg" sheetId="93" state="hidden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Print_Area" localSheetId="4">'buku bantu-26.25'!$A$1:$O$415</definedName>
    <definedName name="_xlnm.Print_Area" localSheetId="1">'Indeks Kinerja'!$B$2:$T$42</definedName>
    <definedName name="_xlnm.Print_Area" localSheetId="2">'Kerusakan Fisik'!$B$2:$O$207</definedName>
    <definedName name="_xlnm.Print_Area" localSheetId="3">'kurva S'!$B$6:$AT$413</definedName>
    <definedName name="_xlnm.Print_Area" localSheetId="0">RPU!$A$1:$AR$376</definedName>
    <definedName name="_xlnm.Print_Titles" localSheetId="1">'Indeks Kinerja'!$6:$10</definedName>
    <definedName name="_xlnm.Print_Titles" localSheetId="3">'kurva S'!$8:$11</definedName>
    <definedName name="_xlnm.Print_Titles" localSheetId="0">RPU!#REF!</definedName>
  </definedNames>
  <calcPr calcId="152511"/>
  <fileRecoveryPr repairLoad="1"/>
</workbook>
</file>

<file path=xl/calcChain.xml><?xml version="1.0" encoding="utf-8"?>
<calcChain xmlns="http://schemas.openxmlformats.org/spreadsheetml/2006/main">
  <c r="R32" i="80" l="1"/>
  <c r="S30" i="80" l="1"/>
  <c r="R30" i="80"/>
  <c r="S29" i="80"/>
  <c r="R29" i="80"/>
  <c r="J116" i="100"/>
  <c r="J133" i="100"/>
  <c r="G179" i="100"/>
  <c r="I178" i="100" s="1"/>
  <c r="J10" i="100"/>
  <c r="J11" i="100" s="1"/>
  <c r="J88" i="100"/>
  <c r="J135" i="100"/>
  <c r="J155" i="100"/>
  <c r="J148" i="100"/>
  <c r="J142" i="100"/>
  <c r="J141" i="100" s="1"/>
  <c r="J118" i="100"/>
  <c r="J126" i="100"/>
  <c r="J125" i="100" s="1"/>
  <c r="M116" i="100"/>
  <c r="M109" i="100"/>
  <c r="M111" i="100"/>
  <c r="J17" i="100"/>
  <c r="J33" i="100"/>
  <c r="J32" i="100"/>
  <c r="M82" i="100"/>
  <c r="J82" i="100" s="1"/>
  <c r="J81" i="100"/>
  <c r="J95" i="100"/>
  <c r="M53" i="100"/>
  <c r="J55" i="100"/>
  <c r="J54" i="100"/>
  <c r="J110" i="100"/>
  <c r="J111" i="100"/>
  <c r="J104" i="100"/>
  <c r="J103" i="100"/>
  <c r="M102" i="100"/>
  <c r="J117" i="100" l="1"/>
  <c r="J31" i="100"/>
  <c r="J134" i="100"/>
  <c r="J102" i="100"/>
  <c r="J80" i="100"/>
  <c r="J109" i="100"/>
  <c r="J53" i="100"/>
  <c r="M55" i="100" l="1"/>
  <c r="M46" i="100"/>
  <c r="M48" i="100"/>
  <c r="J48" i="100" s="1"/>
  <c r="J18" i="100"/>
  <c r="M17" i="100"/>
  <c r="M19" i="100"/>
  <c r="M41" i="100"/>
  <c r="J41" i="100" s="1"/>
  <c r="J40" i="100" s="1"/>
  <c r="M39" i="100"/>
  <c r="J25" i="100"/>
  <c r="J26" i="100"/>
  <c r="J24" i="100" l="1"/>
  <c r="G178" i="100"/>
  <c r="G176" i="100"/>
  <c r="J19" i="100"/>
  <c r="K177" i="100" s="1"/>
  <c r="K178" i="100" s="1"/>
  <c r="J46" i="100"/>
  <c r="J47" i="100" s="1"/>
  <c r="K176" i="100" s="1"/>
  <c r="M47" i="100"/>
  <c r="G177" i="100" s="1"/>
  <c r="I176" i="100" s="1"/>
  <c r="I180" i="100" s="1"/>
  <c r="M59" i="100"/>
  <c r="M62" i="100"/>
  <c r="M66" i="100"/>
  <c r="M67" i="100"/>
  <c r="M74" i="100"/>
  <c r="M75" i="100"/>
  <c r="M77" i="100"/>
  <c r="K180" i="100" l="1"/>
  <c r="G180" i="100"/>
  <c r="F12" i="80"/>
  <c r="H12" i="80"/>
  <c r="J12" i="80"/>
  <c r="L12" i="80"/>
  <c r="N12" i="80"/>
  <c r="P12" i="80"/>
  <c r="J17" i="80" l="1"/>
  <c r="H17" i="80"/>
  <c r="F17" i="80"/>
  <c r="S28" i="80"/>
  <c r="R28" i="80"/>
  <c r="S27" i="80"/>
  <c r="R27" i="80"/>
  <c r="S26" i="80"/>
  <c r="R26" i="80"/>
  <c r="S25" i="80"/>
  <c r="R25" i="80"/>
  <c r="S24" i="80"/>
  <c r="R24" i="80"/>
  <c r="S23" i="80"/>
  <c r="R23" i="80"/>
  <c r="S22" i="80"/>
  <c r="R22" i="80"/>
  <c r="S21" i="80"/>
  <c r="R21" i="80"/>
  <c r="S20" i="80"/>
  <c r="R20" i="80"/>
  <c r="S19" i="80"/>
  <c r="R19" i="80"/>
  <c r="S18" i="80"/>
  <c r="R18" i="80"/>
  <c r="S17" i="80"/>
  <c r="S16" i="80"/>
  <c r="R16" i="80"/>
  <c r="S15" i="80"/>
  <c r="R15" i="80"/>
  <c r="S14" i="80"/>
  <c r="R14" i="80"/>
  <c r="S12" i="80"/>
  <c r="R12" i="80"/>
  <c r="S11" i="80"/>
  <c r="R11" i="80"/>
  <c r="S13" i="80"/>
  <c r="R13" i="80"/>
  <c r="B12" i="80"/>
  <c r="B13" i="80" s="1"/>
  <c r="B14" i="80" s="1"/>
  <c r="B15" i="80" s="1"/>
  <c r="B16" i="80" s="1"/>
  <c r="B17" i="80" s="1"/>
  <c r="B18" i="80" s="1"/>
  <c r="B19" i="80" s="1"/>
  <c r="B20" i="80" s="1"/>
  <c r="B21" i="80" s="1"/>
  <c r="B22" i="80" s="1"/>
  <c r="B23" i="80" s="1"/>
  <c r="B24" i="80" s="1"/>
  <c r="B25" i="80" s="1"/>
  <c r="B26" i="80" s="1"/>
  <c r="B28" i="80"/>
  <c r="B29" i="80" s="1"/>
  <c r="B30" i="80" s="1"/>
  <c r="R17" i="80" l="1"/>
  <c r="AP378" i="81"/>
  <c r="AR378" i="81"/>
  <c r="AP383" i="81"/>
  <c r="AQ383" i="81"/>
  <c r="AR383" i="81"/>
  <c r="AP388" i="81"/>
  <c r="AQ388" i="81"/>
  <c r="AR388" i="81"/>
  <c r="AP393" i="81"/>
  <c r="AQ393" i="81"/>
  <c r="AR393" i="81"/>
  <c r="AR373" i="81"/>
  <c r="AQ373" i="81"/>
  <c r="AP373" i="81"/>
  <c r="AS378" i="81"/>
  <c r="AN392" i="81" l="1"/>
  <c r="AL392" i="81"/>
  <c r="AJ392" i="81"/>
  <c r="AQ387" i="81" l="1"/>
  <c r="AR387" i="81"/>
  <c r="AP387" i="81"/>
  <c r="AQ382" i="81"/>
  <c r="AS382" i="81"/>
  <c r="AP382" i="81"/>
  <c r="AR377" i="81"/>
  <c r="AQ377" i="81"/>
  <c r="AP377" i="81"/>
  <c r="AR372" i="81"/>
  <c r="AQ372" i="81"/>
  <c r="AP372" i="81"/>
  <c r="AS373" i="81" l="1"/>
  <c r="AS393" i="81"/>
  <c r="AO393" i="81" l="1"/>
  <c r="AO388" i="81"/>
  <c r="AO383" i="81"/>
  <c r="AO378" i="81"/>
  <c r="AO373" i="81"/>
  <c r="AS388" i="81" l="1"/>
  <c r="AS383" i="81"/>
  <c r="W25" i="80" l="1"/>
  <c r="X25" i="80" s="1"/>
  <c r="Y25" i="80" s="1"/>
  <c r="Z25" i="80" s="1"/>
  <c r="W24" i="80"/>
  <c r="X24" i="80" s="1"/>
  <c r="Y24" i="80" s="1"/>
  <c r="Z24" i="80" s="1"/>
  <c r="W23" i="80"/>
  <c r="X23" i="80" s="1"/>
  <c r="Y23" i="80" s="1"/>
  <c r="Z23" i="80" s="1"/>
  <c r="W22" i="80"/>
  <c r="X22" i="80" s="1"/>
  <c r="Y22" i="80" s="1"/>
  <c r="Z22" i="80" s="1"/>
  <c r="W21" i="80"/>
  <c r="X21" i="80" s="1"/>
  <c r="Y21" i="80" s="1"/>
  <c r="Z21" i="80" s="1"/>
  <c r="W20" i="80"/>
  <c r="X20" i="80" s="1"/>
  <c r="Y20" i="80" s="1"/>
  <c r="Z20" i="80" s="1"/>
  <c r="W19" i="80"/>
  <c r="X19" i="80" s="1"/>
  <c r="Y19" i="80" s="1"/>
  <c r="Z19" i="80" s="1"/>
  <c r="W18" i="80"/>
  <c r="X18" i="80" s="1"/>
  <c r="Y18" i="80" s="1"/>
  <c r="Z18" i="80" s="1"/>
  <c r="W17" i="80"/>
  <c r="X17" i="80" s="1"/>
  <c r="Y17" i="80" s="1"/>
  <c r="Z17" i="80" s="1"/>
  <c r="W16" i="80"/>
  <c r="X16" i="80" s="1"/>
  <c r="Y16" i="80" s="1"/>
  <c r="Z16" i="80" s="1"/>
  <c r="W15" i="80"/>
  <c r="X15" i="80" s="1"/>
  <c r="Y15" i="80" s="1"/>
  <c r="Z15" i="80" s="1"/>
  <c r="W14" i="80"/>
  <c r="X14" i="80" s="1"/>
  <c r="Y14" i="80" s="1"/>
  <c r="Z14" i="80" s="1"/>
  <c r="W13" i="80"/>
  <c r="X13" i="80" s="1"/>
  <c r="Y13" i="80" s="1"/>
  <c r="Z13" i="80" s="1"/>
  <c r="W12" i="80"/>
  <c r="X12" i="80" s="1"/>
  <c r="Y12" i="80" s="1"/>
  <c r="Z12" i="80" s="1"/>
  <c r="W11" i="80"/>
  <c r="X11" i="80" s="1"/>
  <c r="Y11" i="80" s="1"/>
  <c r="Z11" i="80" s="1"/>
  <c r="AN393" i="81"/>
  <c r="AN388" i="81"/>
  <c r="AN383" i="81"/>
  <c r="AN378" i="81"/>
  <c r="AN373" i="81"/>
  <c r="AM373" i="81" l="1"/>
  <c r="AM378" i="81"/>
  <c r="AM383" i="81"/>
  <c r="AM388" i="81"/>
  <c r="AM393" i="81"/>
  <c r="AL393" i="81" l="1"/>
  <c r="AL388" i="81"/>
  <c r="AL383" i="81"/>
  <c r="AL378" i="81"/>
  <c r="AL373" i="81"/>
  <c r="AK393" i="81" l="1"/>
  <c r="AK388" i="81"/>
  <c r="AK383" i="81"/>
  <c r="AK378" i="81"/>
  <c r="AK373" i="81"/>
  <c r="AJ393" i="81" l="1"/>
  <c r="AJ388" i="81"/>
  <c r="AJ383" i="81"/>
  <c r="AJ378" i="81"/>
  <c r="AJ373" i="81"/>
  <c r="AJ396" i="81" l="1"/>
  <c r="AI393" i="81" l="1"/>
  <c r="AI388" i="81"/>
  <c r="AI383" i="81"/>
  <c r="AI378" i="81"/>
  <c r="AI373" i="81"/>
  <c r="AI396" i="81" l="1"/>
  <c r="AH396" i="81" l="1"/>
  <c r="AH398" i="81" s="1"/>
  <c r="AI398" i="81" s="1"/>
  <c r="AJ398" i="81" s="1"/>
  <c r="N388" i="99" l="1"/>
  <c r="N389" i="99"/>
  <c r="N390" i="99"/>
  <c r="N391" i="99"/>
  <c r="N392" i="99"/>
  <c r="N393" i="99"/>
  <c r="N394" i="99"/>
  <c r="C389" i="99"/>
  <c r="C390" i="99"/>
  <c r="C391" i="99"/>
  <c r="C392" i="99"/>
  <c r="C393" i="99"/>
  <c r="C388" i="99"/>
  <c r="B387" i="99"/>
  <c r="N369" i="99"/>
  <c r="N370" i="99"/>
  <c r="N371" i="99"/>
  <c r="N372" i="99"/>
  <c r="N373" i="99"/>
  <c r="N374" i="99"/>
  <c r="N375" i="99"/>
  <c r="C370" i="99"/>
  <c r="C371" i="99"/>
  <c r="C372" i="99"/>
  <c r="C373" i="99"/>
  <c r="C374" i="99"/>
  <c r="C375" i="99"/>
  <c r="C369" i="99"/>
  <c r="B368" i="99"/>
  <c r="N355" i="99"/>
  <c r="N356" i="99"/>
  <c r="N357" i="99"/>
  <c r="N358" i="99"/>
  <c r="N359" i="99"/>
  <c r="C356" i="99"/>
  <c r="C357" i="99"/>
  <c r="C358" i="99"/>
  <c r="C359" i="99"/>
  <c r="C355" i="99"/>
  <c r="B354" i="99"/>
  <c r="N330" i="99"/>
  <c r="N331" i="99"/>
  <c r="N332" i="99"/>
  <c r="N334" i="99"/>
  <c r="N335" i="99"/>
  <c r="N336" i="99"/>
  <c r="N337" i="99"/>
  <c r="N338" i="99"/>
  <c r="N339" i="99"/>
  <c r="N340" i="99"/>
  <c r="N341" i="99"/>
  <c r="N342" i="99"/>
  <c r="N343" i="99"/>
  <c r="N344" i="99"/>
  <c r="N345" i="99"/>
  <c r="N346" i="99"/>
  <c r="C331" i="99"/>
  <c r="C332" i="99"/>
  <c r="C333" i="99"/>
  <c r="C334" i="99"/>
  <c r="C335" i="99"/>
  <c r="C336" i="99"/>
  <c r="C337" i="99"/>
  <c r="C338" i="99"/>
  <c r="C339" i="99"/>
  <c r="C340" i="99"/>
  <c r="C341" i="99"/>
  <c r="C342" i="99"/>
  <c r="C343" i="99"/>
  <c r="C344" i="99"/>
  <c r="C345" i="99"/>
  <c r="C330" i="99"/>
  <c r="B329" i="99"/>
  <c r="C320" i="99"/>
  <c r="C319" i="99"/>
  <c r="C318" i="99"/>
  <c r="B317" i="99"/>
  <c r="N293" i="99"/>
  <c r="N294" i="99"/>
  <c r="N295" i="99"/>
  <c r="N297" i="99"/>
  <c r="N298" i="99"/>
  <c r="N299" i="99"/>
  <c r="N300" i="99"/>
  <c r="N301" i="99"/>
  <c r="N302" i="99"/>
  <c r="N303" i="99"/>
  <c r="N304" i="99"/>
  <c r="N305" i="99"/>
  <c r="N306" i="99"/>
  <c r="N307" i="99"/>
  <c r="N308" i="99"/>
  <c r="N309" i="99"/>
  <c r="C294" i="99"/>
  <c r="C295" i="99"/>
  <c r="C296" i="99"/>
  <c r="C297" i="99"/>
  <c r="C298" i="99"/>
  <c r="C299" i="99"/>
  <c r="C300" i="99"/>
  <c r="C301" i="99"/>
  <c r="C302" i="99"/>
  <c r="C303" i="99"/>
  <c r="C304" i="99"/>
  <c r="C305" i="99"/>
  <c r="C306" i="99"/>
  <c r="C307" i="99"/>
  <c r="C308" i="99"/>
  <c r="C293" i="99"/>
  <c r="B292" i="99"/>
  <c r="N269" i="99"/>
  <c r="N270" i="99"/>
  <c r="N271" i="99"/>
  <c r="N273" i="99"/>
  <c r="N274" i="99"/>
  <c r="N275" i="99"/>
  <c r="N276" i="99"/>
  <c r="N277" i="99"/>
  <c r="N278" i="99"/>
  <c r="N279" i="99"/>
  <c r="N280" i="99"/>
  <c r="N281" i="99"/>
  <c r="N282" i="99"/>
  <c r="N283" i="99"/>
  <c r="C270" i="99"/>
  <c r="C271" i="99"/>
  <c r="C272" i="99"/>
  <c r="C273" i="99"/>
  <c r="C274" i="99"/>
  <c r="C275" i="99"/>
  <c r="C276" i="99"/>
  <c r="C277" i="99"/>
  <c r="C278" i="99"/>
  <c r="C279" i="99"/>
  <c r="C280" i="99"/>
  <c r="C281" i="99"/>
  <c r="C282" i="99"/>
  <c r="C283" i="99"/>
  <c r="C269" i="99"/>
  <c r="B268" i="99"/>
  <c r="N260" i="99"/>
  <c r="N245" i="99"/>
  <c r="N246" i="99"/>
  <c r="N248" i="99"/>
  <c r="N249" i="99"/>
  <c r="N250" i="99"/>
  <c r="N251" i="99"/>
  <c r="N252" i="99"/>
  <c r="N253" i="99"/>
  <c r="N254" i="99"/>
  <c r="N255" i="99"/>
  <c r="N256" i="99"/>
  <c r="N257" i="99"/>
  <c r="N258" i="99"/>
  <c r="N259" i="99"/>
  <c r="N244" i="99"/>
  <c r="C258" i="99"/>
  <c r="C259" i="99"/>
  <c r="C245" i="99"/>
  <c r="C246" i="99"/>
  <c r="C247" i="99"/>
  <c r="C248" i="99"/>
  <c r="C249" i="99"/>
  <c r="C250" i="99"/>
  <c r="C251" i="99"/>
  <c r="C252" i="99"/>
  <c r="C253" i="99"/>
  <c r="C254" i="99"/>
  <c r="C255" i="99"/>
  <c r="C256" i="99"/>
  <c r="C257" i="99"/>
  <c r="C244" i="99"/>
  <c r="B243" i="99"/>
  <c r="B244" i="99"/>
  <c r="N234" i="99"/>
  <c r="N235" i="99"/>
  <c r="N236" i="99"/>
  <c r="N232" i="99"/>
  <c r="C233" i="99"/>
  <c r="C234" i="99"/>
  <c r="C235" i="99"/>
  <c r="C236" i="99"/>
  <c r="C232" i="99"/>
  <c r="B231" i="99"/>
  <c r="N216" i="99"/>
  <c r="N217" i="99"/>
  <c r="N218" i="99"/>
  <c r="N219" i="99"/>
  <c r="N220" i="99"/>
  <c r="N221" i="99"/>
  <c r="N222" i="99"/>
  <c r="N223" i="99"/>
  <c r="N224" i="99"/>
  <c r="N215" i="99"/>
  <c r="C216" i="99"/>
  <c r="C217" i="99"/>
  <c r="C218" i="99"/>
  <c r="C219" i="99"/>
  <c r="C220" i="99"/>
  <c r="C221" i="99"/>
  <c r="C222" i="99"/>
  <c r="C223" i="99"/>
  <c r="C224" i="99"/>
  <c r="C215" i="99"/>
  <c r="B214" i="99"/>
  <c r="N206" i="99"/>
  <c r="N207" i="99"/>
  <c r="D205" i="99"/>
  <c r="D206" i="99"/>
  <c r="D207" i="99"/>
  <c r="D191" i="99"/>
  <c r="D192" i="99"/>
  <c r="D193" i="99"/>
  <c r="D194" i="99"/>
  <c r="D195" i="99"/>
  <c r="D196" i="99"/>
  <c r="D197" i="99"/>
  <c r="D198" i="99"/>
  <c r="D199" i="99"/>
  <c r="D200" i="99"/>
  <c r="D201" i="99"/>
  <c r="D202" i="99"/>
  <c r="D203" i="99"/>
  <c r="D204" i="99"/>
  <c r="D190" i="99"/>
  <c r="B189" i="99"/>
  <c r="N171" i="99"/>
  <c r="N172" i="99"/>
  <c r="N173" i="99"/>
  <c r="N174" i="99"/>
  <c r="N175" i="99"/>
  <c r="N176" i="99"/>
  <c r="N177" i="99"/>
  <c r="N178" i="99"/>
  <c r="N179" i="99"/>
  <c r="N180" i="99"/>
  <c r="N181" i="99"/>
  <c r="N168" i="99"/>
  <c r="D169" i="99"/>
  <c r="D170" i="99"/>
  <c r="D171" i="99"/>
  <c r="D172" i="99"/>
  <c r="D173" i="99"/>
  <c r="D174" i="99"/>
  <c r="D175" i="99"/>
  <c r="D176" i="99"/>
  <c r="D177" i="99"/>
  <c r="D178" i="99"/>
  <c r="D179" i="99"/>
  <c r="D180" i="99"/>
  <c r="D181" i="99"/>
  <c r="D168" i="99"/>
  <c r="B167" i="99"/>
  <c r="N159" i="99"/>
  <c r="B159" i="99"/>
  <c r="B158" i="99"/>
  <c r="N131" i="99"/>
  <c r="N132" i="99"/>
  <c r="N134" i="99"/>
  <c r="N135" i="99"/>
  <c r="N136" i="99"/>
  <c r="N137" i="99"/>
  <c r="N138" i="99"/>
  <c r="N139" i="99"/>
  <c r="N140" i="99"/>
  <c r="N141" i="99"/>
  <c r="N142" i="99"/>
  <c r="N143" i="99"/>
  <c r="N144" i="99"/>
  <c r="N145" i="99"/>
  <c r="N146" i="99"/>
  <c r="N147" i="99"/>
  <c r="N148" i="99"/>
  <c r="N149" i="99"/>
  <c r="N150" i="99"/>
  <c r="N130" i="99"/>
  <c r="D144" i="99"/>
  <c r="D145" i="99"/>
  <c r="D146" i="99"/>
  <c r="D147" i="99"/>
  <c r="D148" i="99"/>
  <c r="D149" i="99"/>
  <c r="D150" i="99"/>
  <c r="D141" i="99"/>
  <c r="D142" i="99"/>
  <c r="D143" i="99"/>
  <c r="D131" i="99"/>
  <c r="D132" i="99"/>
  <c r="D133" i="99"/>
  <c r="D134" i="99"/>
  <c r="D135" i="99"/>
  <c r="D136" i="99"/>
  <c r="D137" i="99"/>
  <c r="D138" i="99"/>
  <c r="D139" i="99"/>
  <c r="D140" i="99"/>
  <c r="D130" i="99"/>
  <c r="B129" i="99"/>
  <c r="B119" i="99"/>
  <c r="D121" i="99"/>
  <c r="B120" i="99"/>
  <c r="N110" i="99"/>
  <c r="N111" i="99"/>
  <c r="N109" i="99"/>
  <c r="D110" i="99"/>
  <c r="D111" i="99"/>
  <c r="D109" i="99"/>
  <c r="B108" i="99"/>
  <c r="N100" i="99"/>
  <c r="C100" i="99"/>
  <c r="C91" i="99"/>
  <c r="C92" i="99"/>
  <c r="C84" i="99"/>
  <c r="C85" i="99"/>
  <c r="C86" i="99"/>
  <c r="C87" i="99"/>
  <c r="C88" i="99"/>
  <c r="C89" i="99"/>
  <c r="C90" i="99"/>
  <c r="C83" i="99"/>
  <c r="C82" i="99"/>
  <c r="N74" i="99"/>
  <c r="C74" i="99"/>
  <c r="N66" i="99"/>
  <c r="C66" i="99"/>
  <c r="N57" i="99"/>
  <c r="C57" i="99"/>
  <c r="B56" i="99"/>
  <c r="C46" i="99"/>
  <c r="C47" i="99"/>
  <c r="C45" i="99"/>
  <c r="B44" i="99"/>
  <c r="C34" i="99"/>
  <c r="C35" i="99"/>
  <c r="C36" i="99"/>
  <c r="C33" i="99"/>
  <c r="B32" i="99"/>
  <c r="N24" i="99"/>
  <c r="C24" i="99"/>
  <c r="G4" i="99"/>
  <c r="B23" i="99"/>
  <c r="N10" i="99"/>
  <c r="C14" i="99"/>
  <c r="C11" i="99"/>
  <c r="C12" i="99"/>
  <c r="C13" i="99"/>
  <c r="C9" i="99"/>
  <c r="C10" i="99"/>
  <c r="C8" i="99"/>
  <c r="C7" i="99"/>
  <c r="C6" i="99"/>
  <c r="B5" i="99"/>
  <c r="AP405" i="81"/>
  <c r="AP410" i="81"/>
  <c r="AP411" i="81"/>
  <c r="AP404" i="81"/>
  <c r="AS396" i="81" l="1"/>
  <c r="AR396" i="81"/>
  <c r="AQ396" i="81"/>
  <c r="AS395" i="81"/>
  <c r="AR395" i="81"/>
  <c r="AQ395" i="81"/>
  <c r="AP395" i="81"/>
  <c r="AO395" i="81"/>
  <c r="AN395" i="81"/>
  <c r="AM395" i="81"/>
  <c r="AL395" i="81"/>
  <c r="AK395" i="81"/>
  <c r="AJ395" i="81"/>
  <c r="AI395" i="81"/>
  <c r="AH395" i="81"/>
  <c r="N319" i="99" l="1"/>
  <c r="N318" i="99"/>
  <c r="N320" i="99" l="1"/>
  <c r="N296" i="99"/>
  <c r="N354" i="99"/>
  <c r="N317" i="99"/>
  <c r="N333" i="99"/>
  <c r="N272" i="99" l="1"/>
  <c r="N329" i="99"/>
  <c r="N292" i="99"/>
  <c r="N9" i="99" l="1"/>
  <c r="N12" i="99"/>
  <c r="N34" i="99"/>
  <c r="N35" i="99"/>
  <c r="N45" i="99"/>
  <c r="N47" i="99"/>
  <c r="N91" i="99"/>
  <c r="N85" i="99"/>
  <c r="N87" i="99"/>
  <c r="N89" i="99"/>
  <c r="N133" i="99"/>
  <c r="N170" i="99"/>
  <c r="N192" i="99"/>
  <c r="N194" i="99"/>
  <c r="N199" i="99"/>
  <c r="N201" i="99"/>
  <c r="N203" i="99"/>
  <c r="N205" i="99"/>
  <c r="N247" i="99"/>
  <c r="N8" i="99"/>
  <c r="N11" i="99"/>
  <c r="N33" i="99"/>
  <c r="N36" i="99"/>
  <c r="N46" i="99"/>
  <c r="N90" i="99"/>
  <c r="N92" i="99"/>
  <c r="N84" i="99"/>
  <c r="N86" i="99"/>
  <c r="N88" i="99"/>
  <c r="N121" i="99"/>
  <c r="N169" i="99"/>
  <c r="N191" i="99"/>
  <c r="N193" i="99"/>
  <c r="N196" i="99"/>
  <c r="N198" i="99"/>
  <c r="N200" i="99"/>
  <c r="N202" i="99"/>
  <c r="N204" i="99"/>
  <c r="N214" i="99"/>
  <c r="N7" i="99"/>
  <c r="N83" i="99"/>
  <c r="N197" i="99"/>
  <c r="N233" i="99"/>
  <c r="N268" i="99"/>
  <c r="N167" i="99" l="1"/>
  <c r="N32" i="99"/>
  <c r="N195" i="99"/>
  <c r="N14" i="99"/>
  <c r="N82" i="99"/>
  <c r="N190" i="99"/>
  <c r="N13" i="99"/>
  <c r="N243" i="99"/>
  <c r="N129" i="99"/>
  <c r="AM396" i="81" l="1"/>
  <c r="AL396" i="81"/>
  <c r="N6" i="99"/>
  <c r="N5" i="99" s="1"/>
  <c r="AK396" i="81"/>
  <c r="AK398" i="81" l="1"/>
  <c r="AL398" i="81" s="1"/>
  <c r="AM398" i="81" s="1"/>
  <c r="N368" i="99" l="1"/>
  <c r="N387" i="99"/>
  <c r="S5" i="99" l="1"/>
  <c r="B18" i="99"/>
  <c r="B19" i="99" s="1"/>
  <c r="B20" i="99" s="1"/>
  <c r="S23" i="99"/>
  <c r="N23" i="99"/>
  <c r="B27" i="99"/>
  <c r="B28" i="99" s="1"/>
  <c r="B29" i="99" s="1"/>
  <c r="S32" i="99"/>
  <c r="B39" i="99"/>
  <c r="B40" i="99" s="1"/>
  <c r="B41" i="99" s="1"/>
  <c r="L42" i="99"/>
  <c r="S44" i="99"/>
  <c r="N43" i="99"/>
  <c r="B51" i="99"/>
  <c r="B52" i="99" s="1"/>
  <c r="B53" i="99" s="1"/>
  <c r="L54" i="99"/>
  <c r="S56" i="99"/>
  <c r="S57" i="99"/>
  <c r="B61" i="99"/>
  <c r="B62" i="99" s="1"/>
  <c r="B63" i="99" s="1"/>
  <c r="L64" i="99"/>
  <c r="L72" i="99"/>
  <c r="S74" i="99"/>
  <c r="B78" i="99"/>
  <c r="B79" i="99" s="1"/>
  <c r="L80" i="99"/>
  <c r="S82" i="99"/>
  <c r="B96" i="99"/>
  <c r="B97" i="99" s="1"/>
  <c r="L98" i="99"/>
  <c r="S100" i="99"/>
  <c r="B104" i="99"/>
  <c r="B105" i="99" s="1"/>
  <c r="L106" i="99"/>
  <c r="S108" i="99"/>
  <c r="B115" i="99"/>
  <c r="B116" i="99" s="1"/>
  <c r="L117" i="99"/>
  <c r="S120" i="99"/>
  <c r="S129" i="99"/>
  <c r="B154" i="99"/>
  <c r="B155" i="99" s="1"/>
  <c r="L156" i="99"/>
  <c r="S158" i="99"/>
  <c r="L165" i="99"/>
  <c r="S167" i="99"/>
  <c r="B185" i="99"/>
  <c r="B186" i="99" s="1"/>
  <c r="S208" i="99"/>
  <c r="B211" i="99"/>
  <c r="L212" i="99"/>
  <c r="N212" i="99" s="1"/>
  <c r="S214" i="99"/>
  <c r="B228" i="99"/>
  <c r="S237" i="99"/>
  <c r="B240" i="99"/>
  <c r="L241" i="99"/>
  <c r="S245" i="99"/>
  <c r="B263" i="99"/>
  <c r="B264" i="99" s="1"/>
  <c r="B265" i="99" s="1"/>
  <c r="L266" i="99"/>
  <c r="B287" i="99"/>
  <c r="B288" i="99" s="1"/>
  <c r="B289" i="99" s="1"/>
  <c r="L290" i="99"/>
  <c r="B312" i="99"/>
  <c r="B313" i="99" s="1"/>
  <c r="B314" i="99" s="1"/>
  <c r="L315" i="99"/>
  <c r="N315" i="99" s="1"/>
  <c r="B324" i="99"/>
  <c r="B325" i="99" s="1"/>
  <c r="B326" i="99" s="1"/>
  <c r="L327" i="99"/>
  <c r="N327" i="99" s="1"/>
  <c r="S377" i="99"/>
  <c r="B379" i="99"/>
  <c r="B380" i="99" s="1"/>
  <c r="B381" i="99" s="1"/>
  <c r="B382" i="99" s="1"/>
  <c r="B383" i="99" s="1"/>
  <c r="B384" i="99" s="1"/>
  <c r="B397" i="99"/>
  <c r="B398" i="99" s="1"/>
  <c r="B399" i="99" s="1"/>
  <c r="B400" i="99" s="1"/>
  <c r="B401" i="99" s="1"/>
  <c r="B402" i="99" s="1"/>
  <c r="B403" i="99" s="1"/>
  <c r="B404" i="99" s="1"/>
  <c r="B405" i="99" s="1"/>
  <c r="B406" i="99" s="1"/>
  <c r="N241" i="99" l="1"/>
  <c r="N120" i="99"/>
  <c r="N156" i="99"/>
  <c r="N106" i="99"/>
  <c r="S246" i="99"/>
  <c r="N158" i="99"/>
  <c r="N108" i="99"/>
  <c r="N117" i="99" s="1"/>
  <c r="N73" i="99"/>
  <c r="N64" i="99"/>
  <c r="N31" i="99"/>
  <c r="R5" i="99"/>
  <c r="N56" i="99"/>
  <c r="N80" i="99"/>
  <c r="N44" i="99"/>
  <c r="N54" i="99" s="1"/>
  <c r="N42" i="99"/>
  <c r="P5" i="99" l="1"/>
  <c r="AR367" i="81" l="1"/>
  <c r="AQ360" i="82" l="1"/>
  <c r="AP360" i="82"/>
  <c r="AG360" i="82"/>
  <c r="AF360" i="82"/>
  <c r="AM358" i="82"/>
  <c r="AK358" i="82"/>
  <c r="AH357" i="82"/>
  <c r="AH360" i="82" s="1"/>
  <c r="AD356" i="82"/>
  <c r="AI354" i="82"/>
  <c r="AD353" i="82"/>
  <c r="AM351" i="82"/>
  <c r="AL350" i="82"/>
  <c r="AD349" i="82"/>
  <c r="AI347" i="82"/>
  <c r="AN347" i="82" s="1"/>
  <c r="AN360" i="82" s="1"/>
  <c r="AD346" i="82"/>
  <c r="AO344" i="82"/>
  <c r="AO360" i="82" s="1"/>
  <c r="AD343" i="82"/>
  <c r="AJ341" i="82"/>
  <c r="AM340" i="82"/>
  <c r="AD339" i="82"/>
  <c r="AK337" i="82"/>
  <c r="AD336" i="82"/>
  <c r="AK334" i="82"/>
  <c r="AD333" i="82"/>
  <c r="AI329" i="82"/>
  <c r="AD328" i="82"/>
  <c r="AQ321" i="82"/>
  <c r="AF321" i="82"/>
  <c r="AG319" i="82"/>
  <c r="AD318" i="82"/>
  <c r="AG317" i="82"/>
  <c r="AD316" i="82"/>
  <c r="AL313" i="82"/>
  <c r="AD312" i="82"/>
  <c r="AG310" i="82"/>
  <c r="AI310" i="82" s="1"/>
  <c r="AJ310" i="82" s="1"/>
  <c r="AM310" i="82" s="1"/>
  <c r="AN310" i="82" s="1"/>
  <c r="AD309" i="82"/>
  <c r="AD308" i="82" s="1"/>
  <c r="AD305" i="82"/>
  <c r="AG303" i="82"/>
  <c r="AH303" i="82" s="1"/>
  <c r="AI303" i="82" s="1"/>
  <c r="AJ303" i="82" s="1"/>
  <c r="AK303" i="82" s="1"/>
  <c r="AL303" i="82" s="1"/>
  <c r="AM303" i="82" s="1"/>
  <c r="AN303" i="82" s="1"/>
  <c r="AO303" i="82" s="1"/>
  <c r="AD302" i="82"/>
  <c r="AD301" i="82" s="1"/>
  <c r="AK299" i="82"/>
  <c r="AK298" i="82"/>
  <c r="AG297" i="82"/>
  <c r="AG296" i="82"/>
  <c r="AI295" i="82"/>
  <c r="AI294" i="82"/>
  <c r="AH293" i="82"/>
  <c r="AH292" i="82"/>
  <c r="AJ291" i="82"/>
  <c r="AJ290" i="82"/>
  <c r="AI289" i="82"/>
  <c r="AN289" i="82" s="1"/>
  <c r="AG288" i="82"/>
  <c r="AG287" i="82"/>
  <c r="AJ287" i="82" s="1"/>
  <c r="AM287" i="82" s="1"/>
  <c r="AD286" i="82"/>
  <c r="AK283" i="82"/>
  <c r="AG282" i="82"/>
  <c r="AG281" i="82"/>
  <c r="AI280" i="82"/>
  <c r="AI279" i="82"/>
  <c r="AH278" i="82"/>
  <c r="AH277" i="82"/>
  <c r="AJ276" i="82"/>
  <c r="AJ275" i="82"/>
  <c r="AI274" i="82"/>
  <c r="AN274" i="82" s="1"/>
  <c r="AG273" i="82"/>
  <c r="AG272" i="82"/>
  <c r="AJ272" i="82" s="1"/>
  <c r="AM272" i="82" s="1"/>
  <c r="AD271" i="82"/>
  <c r="AG267" i="82"/>
  <c r="AH267" i="82" s="1"/>
  <c r="AI267" i="82" s="1"/>
  <c r="AJ267" i="82" s="1"/>
  <c r="AK267" i="82" s="1"/>
  <c r="AL267" i="82" s="1"/>
  <c r="AM267" i="82" s="1"/>
  <c r="AN267" i="82" s="1"/>
  <c r="AO267" i="82" s="1"/>
  <c r="AD266" i="82"/>
  <c r="AG265" i="82"/>
  <c r="AH265" i="82" s="1"/>
  <c r="AI265" i="82" s="1"/>
  <c r="AJ265" i="82" s="1"/>
  <c r="AK265" i="82" s="1"/>
  <c r="AL265" i="82" s="1"/>
  <c r="AM265" i="82" s="1"/>
  <c r="AN265" i="82" s="1"/>
  <c r="AO265" i="82" s="1"/>
  <c r="AD264" i="82"/>
  <c r="AG261" i="82"/>
  <c r="AH261" i="82" s="1"/>
  <c r="AI261" i="82" s="1"/>
  <c r="AJ261" i="82" s="1"/>
  <c r="AK261" i="82" s="1"/>
  <c r="AL261" i="82" s="1"/>
  <c r="AM261" i="82" s="1"/>
  <c r="AN261" i="82" s="1"/>
  <c r="AO261" i="82" s="1"/>
  <c r="AP261" i="82" s="1"/>
  <c r="AD260" i="82"/>
  <c r="AD259" i="82" s="1"/>
  <c r="AG257" i="82"/>
  <c r="AH257" i="82" s="1"/>
  <c r="AI257" i="82" s="1"/>
  <c r="AJ257" i="82" s="1"/>
  <c r="AK257" i="82" s="1"/>
  <c r="AL257" i="82" s="1"/>
  <c r="AM257" i="82" s="1"/>
  <c r="AN257" i="82" s="1"/>
  <c r="AO257" i="82" s="1"/>
  <c r="AD256" i="82"/>
  <c r="AN253" i="82"/>
  <c r="AK252" i="82"/>
  <c r="AK251" i="82"/>
  <c r="AD250" i="82"/>
  <c r="AE249" i="82"/>
  <c r="AG248" i="82"/>
  <c r="AH248" i="82" s="1"/>
  <c r="AI248" i="82" s="1"/>
  <c r="AJ248" i="82" s="1"/>
  <c r="AK248" i="82" s="1"/>
  <c r="AL248" i="82" s="1"/>
  <c r="AM248" i="82" s="1"/>
  <c r="AN248" i="82" s="1"/>
  <c r="AO248" i="82" s="1"/>
  <c r="AD247" i="82"/>
  <c r="AD246" i="82" s="1"/>
  <c r="AP243" i="82"/>
  <c r="AP321" i="82" s="1"/>
  <c r="AM241" i="82"/>
  <c r="AD240" i="82"/>
  <c r="AH239" i="82"/>
  <c r="AD238" i="82"/>
  <c r="AK236" i="82"/>
  <c r="AN235" i="82"/>
  <c r="AD233" i="82"/>
  <c r="AK233" i="82" s="1"/>
  <c r="AD232" i="82"/>
  <c r="AL232" i="82" s="1"/>
  <c r="AD231" i="82"/>
  <c r="AI231" i="82" s="1"/>
  <c r="AD230" i="82"/>
  <c r="AI230" i="82" s="1"/>
  <c r="AD229" i="82"/>
  <c r="AH229" i="82" s="1"/>
  <c r="AD228" i="82"/>
  <c r="AH228" i="82" s="1"/>
  <c r="AD227" i="82"/>
  <c r="AJ227" i="82" s="1"/>
  <c r="AD226" i="82"/>
  <c r="AJ226" i="82" s="1"/>
  <c r="AI223" i="82"/>
  <c r="AL222" i="82"/>
  <c r="AG221" i="82"/>
  <c r="AJ221" i="82" s="1"/>
  <c r="AM221" i="82" s="1"/>
  <c r="AG220" i="82"/>
  <c r="AQ214" i="82"/>
  <c r="AP214" i="82"/>
  <c r="AO214" i="82"/>
  <c r="AN214" i="82"/>
  <c r="AF214" i="82"/>
  <c r="AH213" i="82"/>
  <c r="AI213" i="82" s="1"/>
  <c r="AJ213" i="82" s="1"/>
  <c r="AH212" i="82"/>
  <c r="AI212" i="82" s="1"/>
  <c r="AJ212" i="82" s="1"/>
  <c r="F212" i="82"/>
  <c r="F213" i="82" s="1"/>
  <c r="AH211" i="82"/>
  <c r="AI211" i="82" s="1"/>
  <c r="AJ211" i="82" s="1"/>
  <c r="AD210" i="82"/>
  <c r="AD209" i="82" s="1"/>
  <c r="AE206" i="82"/>
  <c r="AH204" i="82"/>
  <c r="AD203" i="82"/>
  <c r="AH201" i="82"/>
  <c r="AM201" i="82" s="1"/>
  <c r="AM214" i="82" s="1"/>
  <c r="AD200" i="82"/>
  <c r="AG198" i="82"/>
  <c r="AG214" i="82" s="1"/>
  <c r="AD197" i="82"/>
  <c r="AK193" i="82"/>
  <c r="AK214" i="82" s="1"/>
  <c r="AD192" i="82"/>
  <c r="AI190" i="82"/>
  <c r="AD189" i="82"/>
  <c r="AE181" i="82"/>
  <c r="AG180" i="82"/>
  <c r="AH180" i="82" s="1"/>
  <c r="AI180" i="82" s="1"/>
  <c r="AJ180" i="82" s="1"/>
  <c r="AK180" i="82" s="1"/>
  <c r="AL180" i="82" s="1"/>
  <c r="AM180" i="82" s="1"/>
  <c r="AN180" i="82" s="1"/>
  <c r="AO180" i="82" s="1"/>
  <c r="AP180" i="82" s="1"/>
  <c r="AD179" i="82"/>
  <c r="AK177" i="82"/>
  <c r="AN177" i="82" s="1"/>
  <c r="AH175" i="82"/>
  <c r="AK175" i="82" s="1"/>
  <c r="AN175" i="82" s="1"/>
  <c r="AI173" i="82"/>
  <c r="AM173" i="82" s="1"/>
  <c r="AK171" i="82"/>
  <c r="AD170" i="82"/>
  <c r="AN169" i="82"/>
  <c r="AD168" i="82"/>
  <c r="AD167" i="82"/>
  <c r="AD166" i="82"/>
  <c r="AL164" i="82"/>
  <c r="AE163" i="82"/>
  <c r="AD162" i="82"/>
  <c r="AI160" i="82"/>
  <c r="AJ160" i="82" s="1"/>
  <c r="AK160" i="82" s="1"/>
  <c r="AL160" i="82" s="1"/>
  <c r="AM160" i="82" s="1"/>
  <c r="AN160" i="82" s="1"/>
  <c r="AI159" i="82"/>
  <c r="AJ159" i="82" s="1"/>
  <c r="AK159" i="82" s="1"/>
  <c r="AL159" i="82" s="1"/>
  <c r="AM159" i="82" s="1"/>
  <c r="AN159" i="82" s="1"/>
  <c r="AF158" i="82"/>
  <c r="AF182" i="82" s="1"/>
  <c r="AD157" i="82"/>
  <c r="AJ155" i="82"/>
  <c r="AH155" i="82"/>
  <c r="AJ154" i="82"/>
  <c r="AH154" i="82"/>
  <c r="AM153" i="82"/>
  <c r="AK153" i="82"/>
  <c r="F153" i="82"/>
  <c r="F154" i="82" s="1"/>
  <c r="F155" i="82" s="1"/>
  <c r="AJ152" i="82"/>
  <c r="AH152" i="82"/>
  <c r="AD151" i="82"/>
  <c r="AH149" i="82"/>
  <c r="AI149" i="82" s="1"/>
  <c r="AJ149" i="82" s="1"/>
  <c r="AH148" i="82"/>
  <c r="AI148" i="82" s="1"/>
  <c r="AJ148" i="82" s="1"/>
  <c r="AH147" i="82"/>
  <c r="AI147" i="82" s="1"/>
  <c r="AJ147" i="82" s="1"/>
  <c r="AH146" i="82"/>
  <c r="AI146" i="82" s="1"/>
  <c r="AJ146" i="82" s="1"/>
  <c r="AH145" i="82"/>
  <c r="AI145" i="82" s="1"/>
  <c r="AJ145" i="82" s="1"/>
  <c r="AK144" i="82"/>
  <c r="AL144" i="82" s="1"/>
  <c r="F144" i="82"/>
  <c r="F145" i="82" s="1"/>
  <c r="F146" i="82" s="1"/>
  <c r="F147" i="82" s="1"/>
  <c r="F148" i="82" s="1"/>
  <c r="F149" i="82" s="1"/>
  <c r="AH143" i="82"/>
  <c r="AD142" i="82"/>
  <c r="AK132" i="82"/>
  <c r="AH132" i="82"/>
  <c r="AL131" i="82"/>
  <c r="AI131" i="82"/>
  <c r="AK130" i="82"/>
  <c r="AH130" i="82"/>
  <c r="F130" i="82"/>
  <c r="F131" i="82" s="1"/>
  <c r="F132" i="82" s="1"/>
  <c r="AK129" i="82"/>
  <c r="AH129" i="82"/>
  <c r="AD128" i="82"/>
  <c r="AG126" i="82"/>
  <c r="AK126" i="82" s="1"/>
  <c r="AO126" i="82" s="1"/>
  <c r="AH125" i="82"/>
  <c r="AD124" i="82"/>
  <c r="AH122" i="82"/>
  <c r="AL122" i="82" s="1"/>
  <c r="AI120" i="82"/>
  <c r="AL120" i="82" s="1"/>
  <c r="AM118" i="82"/>
  <c r="AD116" i="82"/>
  <c r="AL116" i="82" s="1"/>
  <c r="AJ115" i="82"/>
  <c r="AH114" i="82"/>
  <c r="AH113" i="82"/>
  <c r="AD112" i="82"/>
  <c r="AL110" i="82"/>
  <c r="AH108" i="82"/>
  <c r="AI108" i="82" s="1"/>
  <c r="AJ108" i="82" s="1"/>
  <c r="AK108" i="82" s="1"/>
  <c r="AL108" i="82" s="1"/>
  <c r="AH107" i="82"/>
  <c r="AI107" i="82" s="1"/>
  <c r="AJ107" i="82" s="1"/>
  <c r="AK107" i="82" s="1"/>
  <c r="AL107" i="82" s="1"/>
  <c r="AD106" i="82"/>
  <c r="AF105" i="82"/>
  <c r="AF133" i="82" s="1"/>
  <c r="AD104" i="82"/>
  <c r="AI101" i="82"/>
  <c r="AJ100" i="82"/>
  <c r="AH100" i="82"/>
  <c r="AJ99" i="82"/>
  <c r="AH99" i="82"/>
  <c r="AH98" i="82"/>
  <c r="AK98" i="82" s="1"/>
  <c r="AH97" i="82"/>
  <c r="AK97" i="82" s="1"/>
  <c r="AH96" i="82"/>
  <c r="AK96" i="82" s="1"/>
  <c r="AJ95" i="82"/>
  <c r="AH95" i="82"/>
  <c r="AJ94" i="82"/>
  <c r="AH94" i="82"/>
  <c r="F94" i="82"/>
  <c r="F95" i="82" s="1"/>
  <c r="F96" i="82" s="1"/>
  <c r="F97" i="82" s="1"/>
  <c r="F98" i="82" s="1"/>
  <c r="F99" i="82" s="1"/>
  <c r="F100" i="82" s="1"/>
  <c r="F101" i="82" s="1"/>
  <c r="AJ93" i="82"/>
  <c r="AH93" i="82"/>
  <c r="AD92" i="82"/>
  <c r="AJ84" i="82"/>
  <c r="AH84" i="82"/>
  <c r="AJ83" i="82"/>
  <c r="AH83" i="82"/>
  <c r="AJ82" i="82"/>
  <c r="AH82" i="82"/>
  <c r="AH81" i="82"/>
  <c r="AJ81" i="82" s="1"/>
  <c r="AK81" i="82" s="1"/>
  <c r="AH80" i="82"/>
  <c r="AJ80" i="82" s="1"/>
  <c r="AK80" i="82" s="1"/>
  <c r="AJ79" i="82"/>
  <c r="AH79" i="82"/>
  <c r="AJ78" i="82"/>
  <c r="AH78" i="82"/>
  <c r="AJ77" i="82"/>
  <c r="AH77" i="82"/>
  <c r="AJ76" i="82"/>
  <c r="AH76" i="82"/>
  <c r="AJ75" i="82"/>
  <c r="AH75" i="82"/>
  <c r="AJ74" i="82"/>
  <c r="AH74" i="82"/>
  <c r="AJ73" i="82"/>
  <c r="AH73" i="82"/>
  <c r="AH72" i="82"/>
  <c r="AJ72" i="82" s="1"/>
  <c r="AK72" i="82" s="1"/>
  <c r="AH71" i="82"/>
  <c r="AJ71" i="82" s="1"/>
  <c r="AK71" i="82" s="1"/>
  <c r="AH70" i="82"/>
  <c r="AJ70" i="82" s="1"/>
  <c r="AK70" i="82" s="1"/>
  <c r="AJ69" i="82"/>
  <c r="AH69" i="82"/>
  <c r="AJ68" i="82"/>
  <c r="AH68" i="82"/>
  <c r="AJ67" i="82"/>
  <c r="AH67" i="82"/>
  <c r="AJ66" i="82"/>
  <c r="AH66" i="82"/>
  <c r="AH65" i="82"/>
  <c r="AJ65" i="82" s="1"/>
  <c r="AK65" i="82" s="1"/>
  <c r="AJ64" i="82"/>
  <c r="AH64" i="82"/>
  <c r="AH63" i="82"/>
  <c r="AJ63" i="82" s="1"/>
  <c r="AK63" i="82" s="1"/>
  <c r="AJ62" i="82"/>
  <c r="AH62" i="82"/>
  <c r="AJ61" i="82"/>
  <c r="AH61" i="82"/>
  <c r="AJ60" i="82"/>
  <c r="AH60" i="82"/>
  <c r="AJ59" i="82"/>
  <c r="AH59" i="82"/>
  <c r="AJ58" i="82"/>
  <c r="AH58" i="82"/>
  <c r="AH57" i="82"/>
  <c r="AJ57" i="82" s="1"/>
  <c r="AK57" i="82" s="1"/>
  <c r="AJ56" i="82"/>
  <c r="AH56" i="82"/>
  <c r="F56" i="82"/>
  <c r="F57" i="82" s="1"/>
  <c r="F58" i="82" s="1"/>
  <c r="F59" i="82" s="1"/>
  <c r="F60" i="82" s="1"/>
  <c r="F61" i="82" s="1"/>
  <c r="F62" i="82" s="1"/>
  <c r="F63" i="82" s="1"/>
  <c r="F64" i="82" s="1"/>
  <c r="F65" i="82" s="1"/>
  <c r="F66" i="82" s="1"/>
  <c r="F67" i="82" s="1"/>
  <c r="F68" i="82" s="1"/>
  <c r="F69" i="82" s="1"/>
  <c r="F70" i="82" s="1"/>
  <c r="F71" i="82" s="1"/>
  <c r="F72" i="82" s="1"/>
  <c r="F73" i="82" s="1"/>
  <c r="F74" i="82" s="1"/>
  <c r="F75" i="82" s="1"/>
  <c r="F76" i="82" s="1"/>
  <c r="F77" i="82" s="1"/>
  <c r="F78" i="82" s="1"/>
  <c r="F79" i="82" s="1"/>
  <c r="F80" i="82" s="1"/>
  <c r="F81" i="82" s="1"/>
  <c r="F82" i="82" s="1"/>
  <c r="F83" i="82" s="1"/>
  <c r="F84" i="82" s="1"/>
  <c r="AJ55" i="82"/>
  <c r="AH55" i="82"/>
  <c r="AD54" i="82"/>
  <c r="AH50" i="82"/>
  <c r="AJ50" i="82" s="1"/>
  <c r="AM50" i="82" s="1"/>
  <c r="AO50" i="82" s="1"/>
  <c r="AI49" i="82"/>
  <c r="AK49" i="82" s="1"/>
  <c r="AN49" i="82" s="1"/>
  <c r="AD48" i="82"/>
  <c r="AM46" i="82"/>
  <c r="AD45" i="82"/>
  <c r="AL43" i="82"/>
  <c r="AD42" i="82"/>
  <c r="AJ40" i="82"/>
  <c r="AN40" i="82" s="1"/>
  <c r="AD39" i="82"/>
  <c r="AD38" i="82" s="1"/>
  <c r="AG36" i="82"/>
  <c r="AJ36" i="82" s="1"/>
  <c r="AM36" i="82" s="1"/>
  <c r="AG35" i="82"/>
  <c r="AI35" i="82" s="1"/>
  <c r="AK35" i="82" s="1"/>
  <c r="AF34" i="82"/>
  <c r="AL34" i="82" s="1"/>
  <c r="AN34" i="82" s="1"/>
  <c r="AD33" i="82"/>
  <c r="AD29" i="82"/>
  <c r="AN29" i="82" s="1"/>
  <c r="AM28" i="82"/>
  <c r="AL28" i="82"/>
  <c r="AD27" i="82"/>
  <c r="AI25" i="82"/>
  <c r="AD24" i="82"/>
  <c r="AF22" i="82"/>
  <c r="AF85" i="82" s="1"/>
  <c r="AJ21" i="82"/>
  <c r="AL21" i="82" s="1"/>
  <c r="AD20" i="82"/>
  <c r="AG11" i="82"/>
  <c r="AH11" i="82" s="1"/>
  <c r="AI11" i="82" s="1"/>
  <c r="AJ11" i="82" s="1"/>
  <c r="AK11" i="82" s="1"/>
  <c r="AL11" i="82" s="1"/>
  <c r="AM11" i="82" s="1"/>
  <c r="AN11" i="82" s="1"/>
  <c r="AO11" i="82" s="1"/>
  <c r="AP11" i="82" s="1"/>
  <c r="AQ11" i="82" s="1"/>
  <c r="AF11" i="82"/>
  <c r="AD89" i="82" l="1"/>
  <c r="AJ96" i="82"/>
  <c r="AO215" i="82"/>
  <c r="AO321" i="82"/>
  <c r="AI357" i="82"/>
  <c r="AJ357" i="82" s="1"/>
  <c r="AJ360" i="82" s="1"/>
  <c r="AD19" i="82"/>
  <c r="AD32" i="82"/>
  <c r="AD53" i="82"/>
  <c r="AD88" i="82"/>
  <c r="AJ98" i="82"/>
  <c r="AD139" i="82"/>
  <c r="AD188" i="82"/>
  <c r="AI214" i="82"/>
  <c r="AD196" i="82"/>
  <c r="AD208" i="82"/>
  <c r="AG321" i="82"/>
  <c r="AF322" i="82" s="1"/>
  <c r="AD225" i="82"/>
  <c r="AK321" i="82"/>
  <c r="AD255" i="82"/>
  <c r="AD263" i="82"/>
  <c r="AD270" i="82"/>
  <c r="AD285" i="82"/>
  <c r="AD315" i="82"/>
  <c r="AD327" i="82"/>
  <c r="AD332" i="82"/>
  <c r="AH321" i="82"/>
  <c r="AK354" i="82"/>
  <c r="AM354" i="82" s="1"/>
  <c r="AO322" i="82"/>
  <c r="AO361" i="82"/>
  <c r="AJ214" i="82"/>
  <c r="AL321" i="82"/>
  <c r="AI321" i="82"/>
  <c r="AF362" i="82"/>
  <c r="AF363" i="82" s="1"/>
  <c r="AH34" i="82"/>
  <c r="AJ97" i="82"/>
  <c r="AK101" i="82"/>
  <c r="AG105" i="82"/>
  <c r="AI125" i="82"/>
  <c r="AJ125" i="82" s="1"/>
  <c r="AK125" i="82" s="1"/>
  <c r="AL125" i="82" s="1"/>
  <c r="AM125" i="82" s="1"/>
  <c r="AN125" i="82" s="1"/>
  <c r="AO125" i="82" s="1"/>
  <c r="AI143" i="82"/>
  <c r="AM144" i="82"/>
  <c r="AG158" i="82"/>
  <c r="AJ167" i="82"/>
  <c r="AL198" i="82"/>
  <c r="AL214" i="82" s="1"/>
  <c r="AH214" i="82"/>
  <c r="AJ220" i="82"/>
  <c r="AN223" i="82"/>
  <c r="AN321" i="82" s="1"/>
  <c r="AL334" i="82"/>
  <c r="AG22" i="82"/>
  <c r="AL101" i="82"/>
  <c r="AF361" i="82"/>
  <c r="AI360" i="82" l="1"/>
  <c r="AI215" i="82"/>
  <c r="AD326" i="82"/>
  <c r="AD219" i="82"/>
  <c r="AD138" i="82"/>
  <c r="AD87" i="82"/>
  <c r="AK360" i="82"/>
  <c r="AL215" i="82"/>
  <c r="AD331" i="82"/>
  <c r="AD269" i="82"/>
  <c r="AD195" i="82"/>
  <c r="AD187" i="82"/>
  <c r="AD52" i="82"/>
  <c r="AD18" i="82"/>
  <c r="AF215" i="82"/>
  <c r="AP125" i="82"/>
  <c r="AG85" i="82"/>
  <c r="AH22" i="82"/>
  <c r="AM220" i="82"/>
  <c r="AM321" i="82" s="1"/>
  <c r="AL322" i="82" s="1"/>
  <c r="AJ321" i="82"/>
  <c r="AD321" i="82" s="1"/>
  <c r="AG133" i="82"/>
  <c r="AH105" i="82"/>
  <c r="AD214" i="82"/>
  <c r="AL360" i="82"/>
  <c r="AM334" i="82"/>
  <c r="AM360" i="82" s="1"/>
  <c r="AG182" i="82"/>
  <c r="AH158" i="82"/>
  <c r="AJ143" i="82"/>
  <c r="AI322" i="82" l="1"/>
  <c r="AD186" i="82"/>
  <c r="AD137" i="82"/>
  <c r="AD245" i="82"/>
  <c r="AI361" i="82"/>
  <c r="AD218" i="82"/>
  <c r="AD324" i="82"/>
  <c r="AD31" i="82"/>
  <c r="AI158" i="82"/>
  <c r="AH182" i="82"/>
  <c r="AF183" i="82" s="1"/>
  <c r="AI105" i="82"/>
  <c r="AH133" i="82"/>
  <c r="AH85" i="82"/>
  <c r="AI22" i="82"/>
  <c r="AG362" i="82"/>
  <c r="AG363" i="82" s="1"/>
  <c r="AL361" i="82"/>
  <c r="AD360" i="82"/>
  <c r="AF86" i="82"/>
  <c r="AD323" i="82" l="1"/>
  <c r="AD217" i="82"/>
  <c r="AF134" i="82"/>
  <c r="AD184" i="82"/>
  <c r="AD16" i="82"/>
  <c r="AJ105" i="82"/>
  <c r="AI133" i="82"/>
  <c r="AJ158" i="82"/>
  <c r="AI182" i="82"/>
  <c r="AI85" i="82"/>
  <c r="AJ22" i="82"/>
  <c r="AH362" i="82"/>
  <c r="AH363" i="82" s="1"/>
  <c r="AD14" i="82" l="1"/>
  <c r="AD216" i="82"/>
  <c r="AD13" i="82" s="1"/>
  <c r="AK22" i="82"/>
  <c r="AJ85" i="82"/>
  <c r="AK158" i="82"/>
  <c r="AJ182" i="82"/>
  <c r="AK105" i="82"/>
  <c r="AJ133" i="82"/>
  <c r="AI362" i="82"/>
  <c r="AI363" i="82" s="1"/>
  <c r="AE50" i="82" l="1"/>
  <c r="AE49" i="82"/>
  <c r="AE19" i="82"/>
  <c r="AD135" i="82"/>
  <c r="AE135" i="82" s="1"/>
  <c r="AE357" i="82"/>
  <c r="AE354" i="82"/>
  <c r="AE351" i="82"/>
  <c r="AE340" i="82"/>
  <c r="AE337" i="82"/>
  <c r="AE334" i="82"/>
  <c r="AE329" i="82"/>
  <c r="AE319" i="82"/>
  <c r="AE317" i="82"/>
  <c r="AE306" i="82"/>
  <c r="AE303" i="82"/>
  <c r="AE298" i="82"/>
  <c r="AE296" i="82"/>
  <c r="AE294" i="82"/>
  <c r="AE292" i="82"/>
  <c r="AE290" i="82"/>
  <c r="AE288" i="82"/>
  <c r="AE283" i="82"/>
  <c r="AE281" i="82"/>
  <c r="AE279" i="82"/>
  <c r="AE277" i="82"/>
  <c r="AE275" i="82"/>
  <c r="AE273" i="82"/>
  <c r="AE261" i="82"/>
  <c r="AE257" i="82"/>
  <c r="AE252" i="82"/>
  <c r="AE241" i="82"/>
  <c r="AE239" i="82"/>
  <c r="AE236" i="82"/>
  <c r="AE222" i="82"/>
  <c r="AE220" i="82"/>
  <c r="AE212" i="82"/>
  <c r="AE175" i="82"/>
  <c r="AE164" i="82"/>
  <c r="AE159" i="82"/>
  <c r="AE153" i="82"/>
  <c r="AE148" i="82"/>
  <c r="AE146" i="82"/>
  <c r="AE144" i="82"/>
  <c r="AE131" i="82"/>
  <c r="AE129" i="82"/>
  <c r="AE126" i="82"/>
  <c r="AE120" i="82"/>
  <c r="AE114" i="82"/>
  <c r="AE110" i="82"/>
  <c r="AE107" i="82"/>
  <c r="AE100" i="82"/>
  <c r="AE98" i="82"/>
  <c r="AE96" i="82"/>
  <c r="AE94" i="82"/>
  <c r="AE84" i="82"/>
  <c r="AE82" i="82"/>
  <c r="AE80" i="82"/>
  <c r="AE78" i="82"/>
  <c r="AE76" i="82"/>
  <c r="AE74" i="82"/>
  <c r="AE72" i="82"/>
  <c r="AE70" i="82"/>
  <c r="AE68" i="82"/>
  <c r="AE66" i="82"/>
  <c r="AE64" i="82"/>
  <c r="AE62" i="82"/>
  <c r="AE60" i="82"/>
  <c r="AE58" i="82"/>
  <c r="AE56" i="82"/>
  <c r="AE46" i="82"/>
  <c r="AE43" i="82"/>
  <c r="AE40" i="82"/>
  <c r="AE35" i="82"/>
  <c r="AE28" i="82"/>
  <c r="AE25" i="82"/>
  <c r="AE22" i="82"/>
  <c r="AE13" i="82"/>
  <c r="K6" i="82"/>
  <c r="AE358" i="82"/>
  <c r="AE350" i="82"/>
  <c r="AE347" i="82"/>
  <c r="AE344" i="82"/>
  <c r="AE341" i="82"/>
  <c r="AE313" i="82"/>
  <c r="AE310" i="82"/>
  <c r="AE299" i="82"/>
  <c r="AE297" i="82"/>
  <c r="AE295" i="82"/>
  <c r="AE293" i="82"/>
  <c r="AE291" i="82"/>
  <c r="AE289" i="82"/>
  <c r="AE287" i="82"/>
  <c r="AE282" i="82"/>
  <c r="AE280" i="82"/>
  <c r="AE278" i="82"/>
  <c r="AE276" i="82"/>
  <c r="AE274" i="82"/>
  <c r="AE272" i="82"/>
  <c r="AE267" i="82"/>
  <c r="AE265" i="82"/>
  <c r="AE258" i="82"/>
  <c r="AE253" i="82"/>
  <c r="AE251" i="82"/>
  <c r="AE248" i="82"/>
  <c r="AE243" i="82"/>
  <c r="AE235" i="82"/>
  <c r="AE223" i="82"/>
  <c r="AE221" i="82"/>
  <c r="AE213" i="82"/>
  <c r="AE211" i="82"/>
  <c r="AE204" i="82"/>
  <c r="AE201" i="82"/>
  <c r="AE198" i="82"/>
  <c r="AE193" i="82"/>
  <c r="AE190" i="82"/>
  <c r="AE180" i="82"/>
  <c r="AE177" i="82"/>
  <c r="AE173" i="82"/>
  <c r="AE171" i="82"/>
  <c r="AE169" i="82"/>
  <c r="AE165" i="82"/>
  <c r="AE160" i="82"/>
  <c r="AE158" i="82"/>
  <c r="AE154" i="82"/>
  <c r="AE152" i="82"/>
  <c r="AE149" i="82"/>
  <c r="AE147" i="82"/>
  <c r="AE145" i="82"/>
  <c r="AE143" i="82"/>
  <c r="AE132" i="82"/>
  <c r="AE130" i="82"/>
  <c r="AE125" i="82"/>
  <c r="AE122" i="82"/>
  <c r="AE118" i="82"/>
  <c r="AE115" i="82"/>
  <c r="AE113" i="82"/>
  <c r="AE108" i="82"/>
  <c r="AE105" i="82"/>
  <c r="AE101" i="82"/>
  <c r="AE99" i="82"/>
  <c r="AE97" i="82"/>
  <c r="AE95" i="82"/>
  <c r="AE93" i="82"/>
  <c r="AE83" i="82"/>
  <c r="AE81" i="82"/>
  <c r="AE79" i="82"/>
  <c r="AE77" i="82"/>
  <c r="AE75" i="82"/>
  <c r="AE73" i="82"/>
  <c r="AE71" i="82"/>
  <c r="AE69" i="82"/>
  <c r="AE67" i="82"/>
  <c r="AE65" i="82"/>
  <c r="AE63" i="82"/>
  <c r="AE61" i="82"/>
  <c r="AE59" i="82"/>
  <c r="AE57" i="82"/>
  <c r="AE55" i="82"/>
  <c r="AE36" i="82"/>
  <c r="AE34" i="82"/>
  <c r="AE21" i="82"/>
  <c r="AE48" i="82"/>
  <c r="AE209" i="82"/>
  <c r="AE250" i="82"/>
  <c r="AE259" i="82"/>
  <c r="AE271" i="82"/>
  <c r="AE305" i="82"/>
  <c r="AE312" i="82"/>
  <c r="AE318" i="82"/>
  <c r="AE333" i="82"/>
  <c r="AE339" i="82"/>
  <c r="AE356" i="82"/>
  <c r="AE42" i="82"/>
  <c r="AE54" i="82"/>
  <c r="AE104" i="82"/>
  <c r="AE151" i="82"/>
  <c r="AE162" i="82"/>
  <c r="AE20" i="82"/>
  <c r="AE27" i="82"/>
  <c r="AE38" i="82"/>
  <c r="AE128" i="82"/>
  <c r="AE166" i="82"/>
  <c r="AE170" i="82"/>
  <c r="AE192" i="82"/>
  <c r="AE200" i="82"/>
  <c r="AE210" i="82"/>
  <c r="AE240" i="82"/>
  <c r="AE260" i="82"/>
  <c r="AE286" i="82"/>
  <c r="AE308" i="82"/>
  <c r="AE346" i="82"/>
  <c r="AE226" i="82"/>
  <c r="AE230" i="82"/>
  <c r="AE116" i="82"/>
  <c r="AE229" i="82"/>
  <c r="AE233" i="82"/>
  <c r="AE39" i="82"/>
  <c r="AE179" i="82"/>
  <c r="AE246" i="82"/>
  <c r="AE256" i="82"/>
  <c r="AE266" i="82"/>
  <c r="AE302" i="82"/>
  <c r="AE309" i="82"/>
  <c r="AE316" i="82"/>
  <c r="AE328" i="82"/>
  <c r="AE336" i="82"/>
  <c r="AE353" i="82"/>
  <c r="AE45" i="82"/>
  <c r="AE89" i="82"/>
  <c r="AE124" i="82"/>
  <c r="AE157" i="82"/>
  <c r="AE167" i="82"/>
  <c r="AE24" i="82"/>
  <c r="AE33" i="82"/>
  <c r="AE92" i="82"/>
  <c r="AE142" i="82"/>
  <c r="AE168" i="82"/>
  <c r="AE189" i="82"/>
  <c r="AE197" i="82"/>
  <c r="AE203" i="82"/>
  <c r="AE238" i="82"/>
  <c r="AE247" i="82"/>
  <c r="AE264" i="82"/>
  <c r="AE301" i="82"/>
  <c r="AE343" i="82"/>
  <c r="AE349" i="82"/>
  <c r="AE29" i="82"/>
  <c r="AE228" i="82"/>
  <c r="AE232" i="82"/>
  <c r="AE227" i="82"/>
  <c r="AE231" i="82"/>
  <c r="AE139" i="82"/>
  <c r="AE263" i="82"/>
  <c r="AE270" i="82"/>
  <c r="AE196" i="82"/>
  <c r="AE188" i="82"/>
  <c r="AE53" i="82"/>
  <c r="AE255" i="82"/>
  <c r="AE327" i="82"/>
  <c r="AE225" i="82"/>
  <c r="AE88" i="82"/>
  <c r="AE32" i="82"/>
  <c r="AE285" i="82"/>
  <c r="AE208" i="82"/>
  <c r="AE332" i="82"/>
  <c r="AE315" i="82"/>
  <c r="AE195" i="82"/>
  <c r="AE219" i="82"/>
  <c r="AE326" i="82"/>
  <c r="AE331" i="82"/>
  <c r="AE87" i="82"/>
  <c r="AE187" i="82"/>
  <c r="AE138" i="82"/>
  <c r="AE52" i="82"/>
  <c r="AE269" i="82"/>
  <c r="AE18" i="82"/>
  <c r="AE324" i="82"/>
  <c r="AE218" i="82"/>
  <c r="AE31" i="82"/>
  <c r="AE137" i="82"/>
  <c r="AE186" i="82"/>
  <c r="AE245" i="82"/>
  <c r="AE16" i="82"/>
  <c r="AE323" i="82"/>
  <c r="AE217" i="82"/>
  <c r="AE184" i="82"/>
  <c r="AE216" i="82"/>
  <c r="AE14" i="82"/>
  <c r="AL105" i="82"/>
  <c r="AK133" i="82"/>
  <c r="AL158" i="82"/>
  <c r="AK182" i="82"/>
  <c r="AK85" i="82"/>
  <c r="AL22" i="82"/>
  <c r="AJ362" i="82"/>
  <c r="AJ363" i="82" s="1"/>
  <c r="AI183" i="82"/>
  <c r="AK362" i="82" l="1"/>
  <c r="AK363" i="82" s="1"/>
  <c r="AI134" i="82"/>
  <c r="AM158" i="82"/>
  <c r="AL182" i="82"/>
  <c r="AM105" i="82"/>
  <c r="AL133" i="82"/>
  <c r="AM22" i="82"/>
  <c r="AL85" i="82"/>
  <c r="AI86" i="82"/>
  <c r="AM133" i="82" l="1"/>
  <c r="AN105" i="82"/>
  <c r="AN158" i="82"/>
  <c r="AM182" i="82"/>
  <c r="AM85" i="82"/>
  <c r="AN22" i="82"/>
  <c r="AL362" i="82"/>
  <c r="AL363" i="82" s="1"/>
  <c r="AM362" i="82" l="1"/>
  <c r="AM363" i="82" s="1"/>
  <c r="AN85" i="82"/>
  <c r="AO22" i="82"/>
  <c r="AN182" i="82"/>
  <c r="AL183" i="82" s="1"/>
  <c r="AO158" i="82"/>
  <c r="AN133" i="82"/>
  <c r="AO105" i="82"/>
  <c r="AL86" i="82" l="1"/>
  <c r="AL134" i="82"/>
  <c r="AO133" i="82"/>
  <c r="AP105" i="82"/>
  <c r="AO182" i="82"/>
  <c r="AP158" i="82"/>
  <c r="AO85" i="82"/>
  <c r="AP22" i="82"/>
  <c r="AN362" i="82"/>
  <c r="AN363" i="82" s="1"/>
  <c r="AO362" i="82" l="1"/>
  <c r="AO363" i="82" s="1"/>
  <c r="AP85" i="82"/>
  <c r="AQ22" i="82"/>
  <c r="AQ85" i="82" s="1"/>
  <c r="AP182" i="82"/>
  <c r="AQ158" i="82"/>
  <c r="AQ182" i="82" s="1"/>
  <c r="AP133" i="82"/>
  <c r="AQ105" i="82"/>
  <c r="AQ133" i="82" s="1"/>
  <c r="AD133" i="82" l="1"/>
  <c r="AD85" i="82"/>
  <c r="AN86" i="82"/>
  <c r="AO134" i="82"/>
  <c r="AP362" i="82"/>
  <c r="AP363" i="82" s="1"/>
  <c r="AO183" i="82"/>
  <c r="AQ362" i="82"/>
  <c r="AD182" i="82"/>
  <c r="AQ363" i="82" l="1"/>
  <c r="AF395" i="81" l="1"/>
  <c r="AT448" i="81"/>
  <c r="AS360" i="81"/>
  <c r="AR360" i="81"/>
  <c r="AI360" i="81"/>
  <c r="AH360" i="81"/>
  <c r="AU359" i="81"/>
  <c r="AO358" i="81"/>
  <c r="AM358" i="81"/>
  <c r="AU358" i="81" s="1"/>
  <c r="AJ357" i="81"/>
  <c r="AU356" i="81"/>
  <c r="AE356" i="81"/>
  <c r="AU355" i="81"/>
  <c r="AK354" i="81"/>
  <c r="AU353" i="81"/>
  <c r="AE353" i="81"/>
  <c r="AU352" i="81"/>
  <c r="AO351" i="81"/>
  <c r="AU351" i="81" s="1"/>
  <c r="AN350" i="81"/>
  <c r="AU350" i="81" s="1"/>
  <c r="AU349" i="81"/>
  <c r="AE349" i="81"/>
  <c r="AU348" i="81"/>
  <c r="AK347" i="81"/>
  <c r="AU346" i="81"/>
  <c r="AE346" i="81"/>
  <c r="AU345" i="81"/>
  <c r="AQ344" i="81"/>
  <c r="AQ360" i="81" s="1"/>
  <c r="AU343" i="81"/>
  <c r="AE343" i="81"/>
  <c r="AU342" i="81"/>
  <c r="AL341" i="81"/>
  <c r="AU341" i="81" s="1"/>
  <c r="AO340" i="81"/>
  <c r="AU340" i="81" s="1"/>
  <c r="AU339" i="81"/>
  <c r="AE339" i="81"/>
  <c r="AU338" i="81"/>
  <c r="AM337" i="81"/>
  <c r="AU337" i="81" s="1"/>
  <c r="AU336" i="81"/>
  <c r="AE336" i="81"/>
  <c r="AU335" i="81"/>
  <c r="AM334" i="81"/>
  <c r="AU333" i="81"/>
  <c r="AU332" i="81"/>
  <c r="AU331" i="81"/>
  <c r="AU330" i="81"/>
  <c r="AK329" i="81"/>
  <c r="AU329" i="81" s="1"/>
  <c r="AU328" i="81"/>
  <c r="AE328" i="81"/>
  <c r="AE327" i="81" s="1"/>
  <c r="AU327" i="81"/>
  <c r="AU326" i="81"/>
  <c r="AU325" i="81"/>
  <c r="AU324" i="81"/>
  <c r="AU323" i="81"/>
  <c r="AS321" i="81"/>
  <c r="AH321" i="81"/>
  <c r="AU320" i="81"/>
  <c r="AI319" i="81"/>
  <c r="AU319" i="81" s="1"/>
  <c r="AU318" i="81"/>
  <c r="AE318" i="81"/>
  <c r="AE315" i="81" s="1"/>
  <c r="AI317" i="81"/>
  <c r="AU317" i="81" s="1"/>
  <c r="AU316" i="81"/>
  <c r="AE316" i="81"/>
  <c r="AU315" i="81"/>
  <c r="AU314" i="81"/>
  <c r="AN313" i="81"/>
  <c r="AU313" i="81" s="1"/>
  <c r="AU312" i="81"/>
  <c r="AE312" i="81"/>
  <c r="AU311" i="81"/>
  <c r="AI310" i="81"/>
  <c r="AU309" i="81"/>
  <c r="AE309" i="81"/>
  <c r="AU308" i="81"/>
  <c r="AU307" i="81"/>
  <c r="AU306" i="81"/>
  <c r="AU305" i="81"/>
  <c r="AE305" i="81"/>
  <c r="AU304" i="81"/>
  <c r="AI303" i="81"/>
  <c r="AU302" i="81"/>
  <c r="AE302" i="81"/>
  <c r="AU301" i="81"/>
  <c r="AM299" i="81"/>
  <c r="AU299" i="81" s="1"/>
  <c r="AM298" i="81"/>
  <c r="AU298" i="81" s="1"/>
  <c r="AI297" i="81"/>
  <c r="AU297" i="81" s="1"/>
  <c r="AI296" i="81"/>
  <c r="AU296" i="81" s="1"/>
  <c r="AK295" i="81"/>
  <c r="AU295" i="81" s="1"/>
  <c r="AK294" i="81"/>
  <c r="AU294" i="81" s="1"/>
  <c r="AJ293" i="81"/>
  <c r="AU293" i="81" s="1"/>
  <c r="AJ292" i="81"/>
  <c r="AU292" i="81" s="1"/>
  <c r="AL291" i="81"/>
  <c r="AU291" i="81" s="1"/>
  <c r="AL290" i="81"/>
  <c r="AU290" i="81" s="1"/>
  <c r="AK289" i="81"/>
  <c r="AI288" i="81"/>
  <c r="AU288" i="81" s="1"/>
  <c r="AI287" i="81"/>
  <c r="AU286" i="81"/>
  <c r="AE286" i="81"/>
  <c r="AE285" i="81" s="1"/>
  <c r="AU285" i="81"/>
  <c r="AU284" i="81"/>
  <c r="AM283" i="81"/>
  <c r="AU283" i="81" s="1"/>
  <c r="AI282" i="81"/>
  <c r="AU282" i="81" s="1"/>
  <c r="AI281" i="81"/>
  <c r="AU281" i="81" s="1"/>
  <c r="AK280" i="81"/>
  <c r="AU280" i="81" s="1"/>
  <c r="AK279" i="81"/>
  <c r="AU279" i="81" s="1"/>
  <c r="AJ278" i="81"/>
  <c r="AU278" i="81" s="1"/>
  <c r="AJ277" i="81"/>
  <c r="AU277" i="81" s="1"/>
  <c r="AL276" i="81"/>
  <c r="AU276" i="81" s="1"/>
  <c r="AL275" i="81"/>
  <c r="AU275" i="81" s="1"/>
  <c r="AK274" i="81"/>
  <c r="AI273" i="81"/>
  <c r="AU273" i="81" s="1"/>
  <c r="AI272" i="81"/>
  <c r="AU271" i="81"/>
  <c r="AE271" i="81"/>
  <c r="AU270" i="81"/>
  <c r="AE270" i="81"/>
  <c r="AU269" i="81"/>
  <c r="AU268" i="81"/>
  <c r="AI267" i="81"/>
  <c r="AU266" i="81"/>
  <c r="AE266" i="81"/>
  <c r="AI265" i="81"/>
  <c r="AU264" i="81"/>
  <c r="AE264" i="81"/>
  <c r="AU263" i="81"/>
  <c r="AU262" i="81"/>
  <c r="AI261" i="81"/>
  <c r="AJ261" i="81" s="1"/>
  <c r="AK261" i="81" s="1"/>
  <c r="AL261" i="81" s="1"/>
  <c r="AM261" i="81" s="1"/>
  <c r="AN261" i="81" s="1"/>
  <c r="AO261" i="81" s="1"/>
  <c r="AP261" i="81" s="1"/>
  <c r="AQ261" i="81" s="1"/>
  <c r="AR261" i="81" s="1"/>
  <c r="AU260" i="81"/>
  <c r="AE260" i="81"/>
  <c r="AU259" i="81"/>
  <c r="AE259" i="81"/>
  <c r="AU258" i="81"/>
  <c r="AI257" i="81"/>
  <c r="AU256" i="81"/>
  <c r="AE256" i="81"/>
  <c r="AU255" i="81"/>
  <c r="AE255" i="81"/>
  <c r="AU254" i="81"/>
  <c r="AP253" i="81"/>
  <c r="AU253" i="81" s="1"/>
  <c r="AM252" i="81"/>
  <c r="AU252" i="81" s="1"/>
  <c r="AM251" i="81"/>
  <c r="AU251" i="81" s="1"/>
  <c r="AU250" i="81"/>
  <c r="AE250" i="81"/>
  <c r="AE246" i="81" s="1"/>
  <c r="AU249" i="81"/>
  <c r="AI248" i="81"/>
  <c r="AU247" i="81"/>
  <c r="AE247" i="81"/>
  <c r="AU246" i="81"/>
  <c r="AU245" i="81"/>
  <c r="AU244" i="81"/>
  <c r="AR243" i="81"/>
  <c r="AU242" i="81"/>
  <c r="AO241" i="81"/>
  <c r="AU241" i="81" s="1"/>
  <c r="AU240" i="81"/>
  <c r="AE240" i="81"/>
  <c r="AJ239" i="81"/>
  <c r="AU239" i="81" s="1"/>
  <c r="AU238" i="81"/>
  <c r="AE238" i="81"/>
  <c r="AU237" i="81"/>
  <c r="AM236" i="81"/>
  <c r="AU236" i="81" s="1"/>
  <c r="AP235" i="81"/>
  <c r="AU235" i="81" s="1"/>
  <c r="AE233" i="81"/>
  <c r="AE232" i="81"/>
  <c r="AE231" i="81"/>
  <c r="AE230" i="81"/>
  <c r="AE229" i="81"/>
  <c r="AE228" i="81"/>
  <c r="AE227" i="81"/>
  <c r="AE226" i="81"/>
  <c r="AU225" i="81"/>
  <c r="AK223" i="81"/>
  <c r="AN222" i="81"/>
  <c r="AU222" i="81" s="1"/>
  <c r="AI221" i="81"/>
  <c r="AI220" i="81"/>
  <c r="AU219" i="81"/>
  <c r="AU218" i="81"/>
  <c r="AU217" i="81"/>
  <c r="AU216" i="81"/>
  <c r="AS214" i="81"/>
  <c r="AR214" i="81"/>
  <c r="AQ214" i="81"/>
  <c r="AP214" i="81"/>
  <c r="AH214" i="81"/>
  <c r="AJ213" i="81"/>
  <c r="AK213" i="81" s="1"/>
  <c r="AL213" i="81" s="1"/>
  <c r="AJ212" i="81"/>
  <c r="AK212" i="81" s="1"/>
  <c r="AL212" i="81" s="1"/>
  <c r="G212" i="81"/>
  <c r="G213" i="81" s="1"/>
  <c r="AJ211" i="81"/>
  <c r="AK211" i="81" s="1"/>
  <c r="AL211" i="81" s="1"/>
  <c r="AU210" i="81"/>
  <c r="AE210" i="81"/>
  <c r="AU209" i="81"/>
  <c r="AE209" i="81"/>
  <c r="AU208" i="81"/>
  <c r="AU207" i="81"/>
  <c r="AU206" i="81"/>
  <c r="AU205" i="81"/>
  <c r="AJ204" i="81"/>
  <c r="AU204" i="81" s="1"/>
  <c r="AU203" i="81"/>
  <c r="AE203" i="81"/>
  <c r="AU202" i="81"/>
  <c r="AJ201" i="81"/>
  <c r="AO201" i="81" s="1"/>
  <c r="AO214" i="81" s="1"/>
  <c r="AU200" i="81"/>
  <c r="AE200" i="81"/>
  <c r="AU199" i="81"/>
  <c r="AI198" i="81"/>
  <c r="AI214" i="81" s="1"/>
  <c r="AU197" i="81"/>
  <c r="AE197" i="81"/>
  <c r="AU196" i="81"/>
  <c r="AE196" i="81"/>
  <c r="AU195" i="81"/>
  <c r="AU194" i="81"/>
  <c r="AM193" i="81"/>
  <c r="AM214" i="81" s="1"/>
  <c r="AU192" i="81"/>
  <c r="AE192" i="81"/>
  <c r="AU191" i="81"/>
  <c r="AK190" i="81"/>
  <c r="AU189" i="81"/>
  <c r="AE189" i="81"/>
  <c r="AE188" i="81" s="1"/>
  <c r="AU188" i="81"/>
  <c r="AU187" i="81"/>
  <c r="AU186" i="81"/>
  <c r="AU185" i="81"/>
  <c r="AU184" i="81"/>
  <c r="AU181" i="81"/>
  <c r="AI180" i="81"/>
  <c r="AJ180" i="81" s="1"/>
  <c r="AK180" i="81" s="1"/>
  <c r="AL180" i="81" s="1"/>
  <c r="AM180" i="81" s="1"/>
  <c r="AN180" i="81" s="1"/>
  <c r="AO180" i="81" s="1"/>
  <c r="AP180" i="81" s="1"/>
  <c r="AQ180" i="81" s="1"/>
  <c r="AR180" i="81" s="1"/>
  <c r="AU179" i="81"/>
  <c r="AE179" i="81"/>
  <c r="AU178" i="81"/>
  <c r="AM177" i="81"/>
  <c r="AP177" i="81" s="1"/>
  <c r="AU176" i="81"/>
  <c r="AJ175" i="81"/>
  <c r="AU174" i="81"/>
  <c r="AK173" i="81"/>
  <c r="AM171" i="81"/>
  <c r="AU171" i="81" s="1"/>
  <c r="AU170" i="81"/>
  <c r="AE170" i="81"/>
  <c r="AP169" i="81"/>
  <c r="AU169" i="81" s="1"/>
  <c r="AU168" i="81"/>
  <c r="AE168" i="81"/>
  <c r="AE167" i="81"/>
  <c r="AL167" i="81" s="1"/>
  <c r="AU167" i="81" s="1"/>
  <c r="AU166" i="81"/>
  <c r="AE166" i="81"/>
  <c r="AU165" i="81"/>
  <c r="AN164" i="81"/>
  <c r="AU164" i="81" s="1"/>
  <c r="AU163" i="81"/>
  <c r="AU162" i="81"/>
  <c r="AE162" i="81"/>
  <c r="AU161" i="81"/>
  <c r="AK160" i="81"/>
  <c r="AL160" i="81" s="1"/>
  <c r="AM160" i="81" s="1"/>
  <c r="AN160" i="81" s="1"/>
  <c r="AO160" i="81" s="1"/>
  <c r="AP160" i="81" s="1"/>
  <c r="AK159" i="81"/>
  <c r="AL159" i="81" s="1"/>
  <c r="AM159" i="81" s="1"/>
  <c r="AN159" i="81" s="1"/>
  <c r="AO159" i="81" s="1"/>
  <c r="AP159" i="81" s="1"/>
  <c r="AH158" i="81"/>
  <c r="AI158" i="81" s="1"/>
  <c r="AU157" i="81"/>
  <c r="AE157" i="81"/>
  <c r="AU156" i="81"/>
  <c r="AL155" i="81"/>
  <c r="AJ155" i="81"/>
  <c r="AL154" i="81"/>
  <c r="AJ154" i="81"/>
  <c r="AO153" i="81"/>
  <c r="AM153" i="81"/>
  <c r="AU153" i="81" s="1"/>
  <c r="G153" i="81"/>
  <c r="G154" i="81" s="1"/>
  <c r="G155" i="81" s="1"/>
  <c r="AL152" i="81"/>
  <c r="AJ152" i="81"/>
  <c r="AU151" i="81"/>
  <c r="AE151" i="81"/>
  <c r="AU150" i="81"/>
  <c r="AJ149" i="81"/>
  <c r="AJ148" i="81"/>
  <c r="AJ147" i="81"/>
  <c r="AJ146" i="81"/>
  <c r="AJ145" i="81"/>
  <c r="AK145" i="81" s="1"/>
  <c r="AL145" i="81" s="1"/>
  <c r="AM144" i="81"/>
  <c r="AN144" i="81" s="1"/>
  <c r="AO144" i="81" s="1"/>
  <c r="G144" i="81"/>
  <c r="G145" i="81" s="1"/>
  <c r="G146" i="81" s="1"/>
  <c r="G147" i="81" s="1"/>
  <c r="G148" i="81" s="1"/>
  <c r="G149" i="81" s="1"/>
  <c r="AJ143" i="81"/>
  <c r="AK143" i="81" s="1"/>
  <c r="AU142" i="81"/>
  <c r="AE142" i="81"/>
  <c r="AU141" i="81"/>
  <c r="AU140" i="81"/>
  <c r="AU139" i="81"/>
  <c r="AU138" i="81"/>
  <c r="AU137" i="81"/>
  <c r="AU136" i="81"/>
  <c r="AU135" i="81"/>
  <c r="AM132" i="81"/>
  <c r="AJ132" i="81"/>
  <c r="AN131" i="81"/>
  <c r="AK131" i="81"/>
  <c r="AM130" i="81"/>
  <c r="AJ130" i="81"/>
  <c r="G130" i="81"/>
  <c r="G131" i="81" s="1"/>
  <c r="G132" i="81" s="1"/>
  <c r="AM129" i="81"/>
  <c r="AJ129" i="81"/>
  <c r="AU128" i="81"/>
  <c r="AE128" i="81"/>
  <c r="AU127" i="81"/>
  <c r="AI126" i="81"/>
  <c r="AJ125" i="81"/>
  <c r="AK125" i="81" s="1"/>
  <c r="AL125" i="81" s="1"/>
  <c r="AM125" i="81" s="1"/>
  <c r="AN125" i="81" s="1"/>
  <c r="AO125" i="81" s="1"/>
  <c r="AP125" i="81" s="1"/>
  <c r="AQ125" i="81" s="1"/>
  <c r="AU124" i="81"/>
  <c r="AE124" i="81"/>
  <c r="AU123" i="81"/>
  <c r="AJ122" i="81"/>
  <c r="AN122" i="81" s="1"/>
  <c r="AU121" i="81"/>
  <c r="AK120" i="81"/>
  <c r="AN120" i="81" s="1"/>
  <c r="AU119" i="81"/>
  <c r="AO118" i="81"/>
  <c r="AU118" i="81" s="1"/>
  <c r="AE116" i="81"/>
  <c r="AL115" i="81"/>
  <c r="AU115" i="81" s="1"/>
  <c r="AJ114" i="81"/>
  <c r="AU114" i="81" s="1"/>
  <c r="AJ113" i="81"/>
  <c r="AU113" i="81" s="1"/>
  <c r="AU112" i="81"/>
  <c r="AU111" i="81"/>
  <c r="AN110" i="81"/>
  <c r="AU110" i="81" s="1"/>
  <c r="AU109" i="81"/>
  <c r="AJ108" i="81"/>
  <c r="AJ107" i="81"/>
  <c r="AK107" i="81" s="1"/>
  <c r="AL107" i="81" s="1"/>
  <c r="AM107" i="81" s="1"/>
  <c r="AN107" i="81" s="1"/>
  <c r="AE106" i="81"/>
  <c r="AH105" i="81"/>
  <c r="AH133" i="81" s="1"/>
  <c r="AU104" i="81"/>
  <c r="AE104" i="81"/>
  <c r="AU103" i="81"/>
  <c r="AU102" i="81"/>
  <c r="AK101" i="81"/>
  <c r="AL100" i="81"/>
  <c r="AJ100" i="81"/>
  <c r="AL99" i="81"/>
  <c r="AJ99" i="81"/>
  <c r="AJ98" i="81"/>
  <c r="AJ97" i="81"/>
  <c r="AJ96" i="81"/>
  <c r="AL95" i="81"/>
  <c r="AJ95" i="81"/>
  <c r="AL94" i="81"/>
  <c r="AJ94" i="81"/>
  <c r="G94" i="81"/>
  <c r="G95" i="81" s="1"/>
  <c r="G96" i="81" s="1"/>
  <c r="G97" i="81" s="1"/>
  <c r="G98" i="81" s="1"/>
  <c r="G99" i="81" s="1"/>
  <c r="G100" i="81" s="1"/>
  <c r="G101" i="81" s="1"/>
  <c r="AL93" i="81"/>
  <c r="AJ93" i="81"/>
  <c r="AU92" i="81"/>
  <c r="AE92" i="81"/>
  <c r="AU91" i="81"/>
  <c r="AU90" i="81"/>
  <c r="AU89" i="81"/>
  <c r="AU88" i="81"/>
  <c r="AU87" i="81"/>
  <c r="AL84" i="81"/>
  <c r="AJ84" i="81"/>
  <c r="AL83" i="81"/>
  <c r="AJ83" i="81"/>
  <c r="AL82" i="81"/>
  <c r="AJ82" i="81"/>
  <c r="AJ81" i="81"/>
  <c r="AL81" i="81" s="1"/>
  <c r="AM81" i="81" s="1"/>
  <c r="AJ80" i="81"/>
  <c r="AL80" i="81" s="1"/>
  <c r="AM80" i="81" s="1"/>
  <c r="AL79" i="81"/>
  <c r="AJ79" i="81"/>
  <c r="AL78" i="81"/>
  <c r="AJ78" i="81"/>
  <c r="AL77" i="81"/>
  <c r="AJ77" i="81"/>
  <c r="AL76" i="81"/>
  <c r="AJ76" i="81"/>
  <c r="AL75" i="81"/>
  <c r="AJ75" i="81"/>
  <c r="AL74" i="81"/>
  <c r="AJ74" i="81"/>
  <c r="AL73" i="81"/>
  <c r="AJ73" i="81"/>
  <c r="AJ72" i="81"/>
  <c r="AJ71" i="81"/>
  <c r="AJ70" i="81"/>
  <c r="AL69" i="81"/>
  <c r="AJ69" i="81"/>
  <c r="AL68" i="81"/>
  <c r="AJ68" i="81"/>
  <c r="AL67" i="81"/>
  <c r="AJ67" i="81"/>
  <c r="AL66" i="81"/>
  <c r="AJ66" i="81"/>
  <c r="AJ65" i="81"/>
  <c r="AL64" i="81"/>
  <c r="AJ64" i="81"/>
  <c r="AJ63" i="81"/>
  <c r="AL63" i="81" s="1"/>
  <c r="AM63" i="81" s="1"/>
  <c r="AL62" i="81"/>
  <c r="AJ62" i="81"/>
  <c r="AL61" i="81"/>
  <c r="AJ61" i="81"/>
  <c r="AL60" i="81"/>
  <c r="AJ60" i="81"/>
  <c r="AL59" i="81"/>
  <c r="AJ59" i="81"/>
  <c r="AL58" i="81"/>
  <c r="AJ58" i="81"/>
  <c r="AJ57" i="81"/>
  <c r="AL56" i="81"/>
  <c r="AJ56" i="81"/>
  <c r="G56" i="81"/>
  <c r="G57" i="81" s="1"/>
  <c r="G58" i="81" s="1"/>
  <c r="G59" i="81" s="1"/>
  <c r="G60" i="81" s="1"/>
  <c r="G61" i="81" s="1"/>
  <c r="G62" i="81" s="1"/>
  <c r="G63" i="81" s="1"/>
  <c r="G64" i="81" s="1"/>
  <c r="G65" i="81" s="1"/>
  <c r="G66" i="81" s="1"/>
  <c r="G67" i="81" s="1"/>
  <c r="G68" i="81" s="1"/>
  <c r="G69" i="81" s="1"/>
  <c r="G70" i="81" s="1"/>
  <c r="G71" i="81" s="1"/>
  <c r="G72" i="81" s="1"/>
  <c r="G73" i="81" s="1"/>
  <c r="G74" i="81" s="1"/>
  <c r="G75" i="81" s="1"/>
  <c r="G76" i="81" s="1"/>
  <c r="G77" i="81" s="1"/>
  <c r="G78" i="81" s="1"/>
  <c r="G79" i="81" s="1"/>
  <c r="G80" i="81" s="1"/>
  <c r="G81" i="81" s="1"/>
  <c r="G82" i="81" s="1"/>
  <c r="G83" i="81" s="1"/>
  <c r="G84" i="81" s="1"/>
  <c r="AL55" i="81"/>
  <c r="AJ55" i="81"/>
  <c r="AU54" i="81"/>
  <c r="AE54" i="81"/>
  <c r="AU53" i="81"/>
  <c r="AU52" i="81"/>
  <c r="AU51" i="81"/>
  <c r="AJ50" i="81"/>
  <c r="AL50" i="81" s="1"/>
  <c r="AO50" i="81" s="1"/>
  <c r="AQ50" i="81" s="1"/>
  <c r="AK49" i="81"/>
  <c r="AU48" i="81"/>
  <c r="AE48" i="81"/>
  <c r="AU47" i="81"/>
  <c r="AN46" i="81"/>
  <c r="AU46" i="81" s="1"/>
  <c r="AU45" i="81"/>
  <c r="AE45" i="81"/>
  <c r="AU44" i="81"/>
  <c r="AN43" i="81"/>
  <c r="AU43" i="81" s="1"/>
  <c r="AU42" i="81"/>
  <c r="AE42" i="81"/>
  <c r="AU41" i="81"/>
  <c r="AL40" i="81"/>
  <c r="AP40" i="81" s="1"/>
  <c r="AU39" i="81"/>
  <c r="AE39" i="81"/>
  <c r="AU38" i="81"/>
  <c r="AE38" i="81"/>
  <c r="AU37" i="81"/>
  <c r="AI36" i="81"/>
  <c r="AL36" i="81" s="1"/>
  <c r="AO36" i="81" s="1"/>
  <c r="AI35" i="81"/>
  <c r="AH34" i="81"/>
  <c r="AL34" i="81" s="1"/>
  <c r="AP34" i="81" s="1"/>
  <c r="AU33" i="81"/>
  <c r="AE33" i="81"/>
  <c r="AE32" i="81" s="1"/>
  <c r="AU32" i="81"/>
  <c r="AU31" i="81"/>
  <c r="AU30" i="81"/>
  <c r="AE29" i="81"/>
  <c r="AN28" i="81"/>
  <c r="AU27" i="81"/>
  <c r="AU26" i="81"/>
  <c r="AK25" i="81"/>
  <c r="AU25" i="81" s="1"/>
  <c r="AU24" i="81"/>
  <c r="AE24" i="81"/>
  <c r="AU23" i="81"/>
  <c r="AH22" i="81"/>
  <c r="AI22" i="81" s="1"/>
  <c r="AL21" i="81"/>
  <c r="AN21" i="81" s="1"/>
  <c r="AE20" i="81"/>
  <c r="AI11" i="81"/>
  <c r="AJ11" i="81" s="1"/>
  <c r="AK11" i="81" s="1"/>
  <c r="AL11" i="81" s="1"/>
  <c r="AM11" i="81" s="1"/>
  <c r="AN11" i="81" s="1"/>
  <c r="AO11" i="81" s="1"/>
  <c r="AP11" i="81" s="1"/>
  <c r="AQ11" i="81" s="1"/>
  <c r="AR11" i="81" s="1"/>
  <c r="AS11" i="81" s="1"/>
  <c r="AH11" i="81"/>
  <c r="AU55" i="81" l="1"/>
  <c r="AR321" i="81"/>
  <c r="AU129" i="81"/>
  <c r="AU154" i="81"/>
  <c r="AU155" i="81"/>
  <c r="AE139" i="81"/>
  <c r="AE138" i="81" s="1"/>
  <c r="AI321" i="81"/>
  <c r="AU66" i="81"/>
  <c r="AU67" i="81"/>
  <c r="AU68" i="81"/>
  <c r="AU69" i="81"/>
  <c r="AU93" i="81"/>
  <c r="AU99" i="81"/>
  <c r="AU100" i="81"/>
  <c r="AE333" i="81"/>
  <c r="AQ361" i="81"/>
  <c r="AK214" i="81"/>
  <c r="AO28" i="81"/>
  <c r="AU28" i="81" s="1"/>
  <c r="AU40" i="81"/>
  <c r="AU56" i="81"/>
  <c r="AU58" i="81"/>
  <c r="AU59" i="81"/>
  <c r="AU60" i="81"/>
  <c r="AU61" i="81"/>
  <c r="AU62" i="81"/>
  <c r="AU64" i="81"/>
  <c r="AU73" i="81"/>
  <c r="AU74" i="81"/>
  <c r="AU75" i="81"/>
  <c r="AU76" i="81"/>
  <c r="AU77" i="81"/>
  <c r="AU78" i="81"/>
  <c r="AU79" i="81"/>
  <c r="AU82" i="81"/>
  <c r="AU84" i="81"/>
  <c r="AU95" i="81"/>
  <c r="AU122" i="81"/>
  <c r="AU130" i="81"/>
  <c r="AU132" i="81"/>
  <c r="AK146" i="81"/>
  <c r="AL146" i="81" s="1"/>
  <c r="AK147" i="81"/>
  <c r="AL147" i="81" s="1"/>
  <c r="AU152" i="81"/>
  <c r="AU177" i="81"/>
  <c r="AU190" i="81"/>
  <c r="AN198" i="81"/>
  <c r="AN214" i="81" s="1"/>
  <c r="AU201" i="81"/>
  <c r="AQ215" i="81"/>
  <c r="AL220" i="81"/>
  <c r="AO220" i="81" s="1"/>
  <c r="AU243" i="81"/>
  <c r="AJ257" i="81"/>
  <c r="AK257" i="81" s="1"/>
  <c r="AL257" i="81" s="1"/>
  <c r="AM257" i="81" s="1"/>
  <c r="AN257" i="81" s="1"/>
  <c r="AO257" i="81" s="1"/>
  <c r="AP257" i="81" s="1"/>
  <c r="AQ257" i="81" s="1"/>
  <c r="AP347" i="81"/>
  <c r="AP360" i="81" s="1"/>
  <c r="AI85" i="81"/>
  <c r="AJ22" i="81"/>
  <c r="AM126" i="81"/>
  <c r="AQ126" i="81" s="1"/>
  <c r="AI182" i="81"/>
  <c r="AJ158" i="81"/>
  <c r="AK158" i="81" s="1"/>
  <c r="AL158" i="81" s="1"/>
  <c r="AM158" i="81" s="1"/>
  <c r="AN158" i="81" s="1"/>
  <c r="AO158" i="81" s="1"/>
  <c r="AP158" i="81" s="1"/>
  <c r="AU21" i="81"/>
  <c r="AP29" i="81"/>
  <c r="AU29" i="81" s="1"/>
  <c r="AU34" i="81"/>
  <c r="AU36" i="81"/>
  <c r="AU50" i="81"/>
  <c r="AU63" i="81"/>
  <c r="AU80" i="81"/>
  <c r="AU81" i="81"/>
  <c r="AH85" i="81"/>
  <c r="AU94" i="81"/>
  <c r="AM96" i="81"/>
  <c r="AM97" i="81"/>
  <c r="AM98" i="81"/>
  <c r="AN101" i="81"/>
  <c r="AU107" i="81"/>
  <c r="AN116" i="81"/>
  <c r="AU116" i="81" s="1"/>
  <c r="AE27" i="81"/>
  <c r="AE19" i="81" s="1"/>
  <c r="AK35" i="81"/>
  <c r="AM35" i="81" s="1"/>
  <c r="AM49" i="81"/>
  <c r="AP49" i="81" s="1"/>
  <c r="AE53" i="81"/>
  <c r="AL57" i="81"/>
  <c r="AM57" i="81" s="1"/>
  <c r="AL65" i="81"/>
  <c r="AM65" i="81" s="1"/>
  <c r="AL70" i="81"/>
  <c r="AM70" i="81" s="1"/>
  <c r="AL71" i="81"/>
  <c r="AM71" i="81" s="1"/>
  <c r="AL72" i="81"/>
  <c r="AM72" i="81" s="1"/>
  <c r="AL96" i="81"/>
  <c r="AL97" i="81"/>
  <c r="AL98" i="81"/>
  <c r="AM101" i="81"/>
  <c r="AI105" i="81"/>
  <c r="AK108" i="81"/>
  <c r="AL108" i="81" s="1"/>
  <c r="AM108" i="81" s="1"/>
  <c r="AN108" i="81" s="1"/>
  <c r="AE112" i="81"/>
  <c r="AE89" i="81" s="1"/>
  <c r="AU120" i="81"/>
  <c r="AR125" i="81"/>
  <c r="AU125" i="81" s="1"/>
  <c r="AU131" i="81"/>
  <c r="AJ182" i="81"/>
  <c r="AN215" i="81"/>
  <c r="AL214" i="81"/>
  <c r="AU144" i="81"/>
  <c r="AU145" i="81"/>
  <c r="AK148" i="81"/>
  <c r="AL148" i="81" s="1"/>
  <c r="AK149" i="81"/>
  <c r="AL149" i="81" s="1"/>
  <c r="AU159" i="81"/>
  <c r="AU160" i="81"/>
  <c r="AO173" i="81"/>
  <c r="AU180" i="81"/>
  <c r="AH182" i="81"/>
  <c r="AN182" i="81"/>
  <c r="AU211" i="81"/>
  <c r="AU212" i="81"/>
  <c r="AU213" i="81"/>
  <c r="AJ214" i="81"/>
  <c r="AL226" i="81"/>
  <c r="AU226" i="81" s="1"/>
  <c r="AL227" i="81"/>
  <c r="AU227" i="81" s="1"/>
  <c r="AJ228" i="81"/>
  <c r="AJ229" i="81"/>
  <c r="AU229" i="81" s="1"/>
  <c r="AK230" i="81"/>
  <c r="AU230" i="81" s="1"/>
  <c r="AK231" i="81"/>
  <c r="AU231" i="81" s="1"/>
  <c r="AN232" i="81"/>
  <c r="AU232" i="81" s="1"/>
  <c r="AM233" i="81"/>
  <c r="AU261" i="81"/>
  <c r="AE263" i="81"/>
  <c r="AJ265" i="81"/>
  <c r="AK265" i="81" s="1"/>
  <c r="AL265" i="81" s="1"/>
  <c r="AM265" i="81" s="1"/>
  <c r="AN265" i="81" s="1"/>
  <c r="AO265" i="81" s="1"/>
  <c r="AP265" i="81" s="1"/>
  <c r="AQ265" i="81" s="1"/>
  <c r="AJ267" i="81"/>
  <c r="AK267" i="81" s="1"/>
  <c r="AL267" i="81" s="1"/>
  <c r="AM267" i="81" s="1"/>
  <c r="AN267" i="81" s="1"/>
  <c r="AO267" i="81" s="1"/>
  <c r="AP267" i="81" s="1"/>
  <c r="AQ267" i="81" s="1"/>
  <c r="AE269" i="81"/>
  <c r="AL272" i="81"/>
  <c r="AO272" i="81" s="1"/>
  <c r="AP274" i="81"/>
  <c r="AU274" i="81" s="1"/>
  <c r="AL287" i="81"/>
  <c r="AO287" i="81" s="1"/>
  <c r="AP289" i="81"/>
  <c r="AU289" i="81" s="1"/>
  <c r="AE301" i="81"/>
  <c r="AJ303" i="81"/>
  <c r="AK303" i="81" s="1"/>
  <c r="AL303" i="81" s="1"/>
  <c r="AM303" i="81" s="1"/>
  <c r="AN303" i="81" s="1"/>
  <c r="AO303" i="81" s="1"/>
  <c r="AP303" i="81" s="1"/>
  <c r="AQ303" i="81" s="1"/>
  <c r="AE308" i="81"/>
  <c r="AK310" i="81"/>
  <c r="AL310" i="81" s="1"/>
  <c r="AO310" i="81" s="1"/>
  <c r="AP310" i="81" s="1"/>
  <c r="AM354" i="81"/>
  <c r="AM360" i="81" s="1"/>
  <c r="AJ360" i="81"/>
  <c r="AL143" i="81"/>
  <c r="AL182" i="81" s="1"/>
  <c r="AM175" i="81"/>
  <c r="AP175" i="81" s="1"/>
  <c r="AE187" i="81"/>
  <c r="AU193" i="81"/>
  <c r="AE208" i="81"/>
  <c r="AL221" i="81"/>
  <c r="AO221" i="81" s="1"/>
  <c r="AP223" i="81"/>
  <c r="AE225" i="81"/>
  <c r="AJ248" i="81"/>
  <c r="AK248" i="81" s="1"/>
  <c r="AL248" i="81" s="1"/>
  <c r="AM248" i="81" s="1"/>
  <c r="AN248" i="81" s="1"/>
  <c r="AO248" i="81" s="1"/>
  <c r="AP248" i="81" s="1"/>
  <c r="AQ248" i="81" s="1"/>
  <c r="AE326" i="81"/>
  <c r="AE332" i="81"/>
  <c r="AN334" i="81"/>
  <c r="AU344" i="81"/>
  <c r="AK357" i="81"/>
  <c r="AL357" i="81" s="1"/>
  <c r="AL360" i="81" s="1"/>
  <c r="AU198" i="81" l="1"/>
  <c r="AU220" i="81"/>
  <c r="AO182" i="81"/>
  <c r="AU101" i="81"/>
  <c r="AO321" i="81"/>
  <c r="AU98" i="81"/>
  <c r="AU347" i="81"/>
  <c r="AU97" i="81"/>
  <c r="AU257" i="81"/>
  <c r="AU147" i="81"/>
  <c r="AH361" i="81"/>
  <c r="AH215" i="81"/>
  <c r="AK215" i="81"/>
  <c r="AU149" i="81"/>
  <c r="AU146" i="81"/>
  <c r="AE18" i="81"/>
  <c r="AN360" i="81"/>
  <c r="AO334" i="81"/>
  <c r="AE137" i="81"/>
  <c r="AE245" i="81"/>
  <c r="AM321" i="81"/>
  <c r="AU233" i="81"/>
  <c r="AH183" i="81"/>
  <c r="AE88" i="81"/>
  <c r="AI133" i="81"/>
  <c r="AJ105" i="81"/>
  <c r="AQ321" i="81"/>
  <c r="AP321" i="81"/>
  <c r="AE214" i="81"/>
  <c r="AL321" i="81"/>
  <c r="AU223" i="81"/>
  <c r="AU214" i="81"/>
  <c r="AU143" i="81"/>
  <c r="AU357" i="81"/>
  <c r="AO354" i="81"/>
  <c r="AU354" i="81" s="1"/>
  <c r="AU310" i="81"/>
  <c r="AU267" i="81"/>
  <c r="AK321" i="81"/>
  <c r="AU173" i="81"/>
  <c r="AU303" i="81"/>
  <c r="AU272" i="81"/>
  <c r="AU265" i="81"/>
  <c r="AU248" i="81"/>
  <c r="AM182" i="81"/>
  <c r="AU126" i="81"/>
  <c r="AU96" i="81"/>
  <c r="AU65" i="81"/>
  <c r="AU35" i="81"/>
  <c r="AU70" i="81"/>
  <c r="AE331" i="81"/>
  <c r="AE324" i="81" s="1"/>
  <c r="AE219" i="81"/>
  <c r="AU228" i="81"/>
  <c r="AJ321" i="81"/>
  <c r="AE52" i="81"/>
  <c r="AQ158" i="81"/>
  <c r="AP182" i="81"/>
  <c r="AK22" i="81"/>
  <c r="AJ85" i="81"/>
  <c r="AE195" i="81"/>
  <c r="AN183" i="81"/>
  <c r="AN321" i="81"/>
  <c r="AU175" i="81"/>
  <c r="AK360" i="81"/>
  <c r="AU287" i="81"/>
  <c r="AU221" i="81"/>
  <c r="AU148" i="81"/>
  <c r="AK182" i="81"/>
  <c r="AU108" i="81"/>
  <c r="AU71" i="81"/>
  <c r="AU49" i="81"/>
  <c r="AU72" i="81"/>
  <c r="AU57" i="81"/>
  <c r="AH397" i="81" l="1"/>
  <c r="AH86" i="81"/>
  <c r="AK322" i="81"/>
  <c r="AU215" i="81"/>
  <c r="AK183" i="81"/>
  <c r="AN322" i="81"/>
  <c r="AQ322" i="81"/>
  <c r="AE323" i="81"/>
  <c r="AK85" i="81"/>
  <c r="AL22" i="81"/>
  <c r="AQ182" i="81"/>
  <c r="AR158" i="81"/>
  <c r="AE218" i="81"/>
  <c r="AK105" i="81"/>
  <c r="AJ133" i="81"/>
  <c r="AH134" i="81" s="1"/>
  <c r="AE87" i="81"/>
  <c r="AK361" i="81"/>
  <c r="AE31" i="81"/>
  <c r="AH322" i="81"/>
  <c r="AU321" i="81"/>
  <c r="AE321" i="81"/>
  <c r="AO360" i="81"/>
  <c r="AE360" i="81" s="1"/>
  <c r="AU334" i="81"/>
  <c r="AE186" i="81"/>
  <c r="AE392" i="81" l="1"/>
  <c r="AH401" i="81"/>
  <c r="AI397" i="81"/>
  <c r="AU322" i="81"/>
  <c r="AN361" i="81"/>
  <c r="AU361" i="81" s="1"/>
  <c r="AE217" i="81"/>
  <c r="AM22" i="81"/>
  <c r="AL85" i="81"/>
  <c r="AU360" i="81"/>
  <c r="AE184" i="81"/>
  <c r="AL105" i="81"/>
  <c r="AK133" i="81"/>
  <c r="AS158" i="81"/>
  <c r="AS182" i="81" s="1"/>
  <c r="AR182" i="81"/>
  <c r="AE16" i="81"/>
  <c r="AE382" i="81" l="1"/>
  <c r="AJ397" i="81"/>
  <c r="AK397" i="81" s="1"/>
  <c r="AL397" i="81" s="1"/>
  <c r="AE372" i="81"/>
  <c r="AE14" i="81"/>
  <c r="AE216" i="81"/>
  <c r="AU158" i="81"/>
  <c r="AE182" i="81"/>
  <c r="AU182" i="81"/>
  <c r="AM105" i="81"/>
  <c r="AL133" i="81"/>
  <c r="AM85" i="81"/>
  <c r="AN22" i="81"/>
  <c r="AQ183" i="81"/>
  <c r="AU183" i="81" s="1"/>
  <c r="AE387" i="81" l="1"/>
  <c r="AK86" i="81"/>
  <c r="AO22" i="81"/>
  <c r="AN85" i="81"/>
  <c r="AE135" i="81"/>
  <c r="AE13" i="81"/>
  <c r="AF14" i="81" s="1"/>
  <c r="AN105" i="81"/>
  <c r="AM133" i="81"/>
  <c r="AK134" i="81" l="1"/>
  <c r="N426" i="81"/>
  <c r="AO105" i="81"/>
  <c r="AN133" i="81"/>
  <c r="AF357" i="81"/>
  <c r="AF351" i="81"/>
  <c r="AF344" i="81"/>
  <c r="AF340" i="81"/>
  <c r="AF334" i="81"/>
  <c r="AF319" i="81"/>
  <c r="AF317" i="81"/>
  <c r="AF316" i="81"/>
  <c r="AF313" i="81"/>
  <c r="AF312" i="81"/>
  <c r="AF306" i="81"/>
  <c r="AF305" i="81"/>
  <c r="AF286" i="81"/>
  <c r="AF271" i="81"/>
  <c r="AF261" i="81"/>
  <c r="AF257" i="81"/>
  <c r="AF256" i="81"/>
  <c r="AF253" i="81"/>
  <c r="AF251" i="81"/>
  <c r="AF248" i="81"/>
  <c r="AF236" i="81"/>
  <c r="AF223" i="81"/>
  <c r="AF221" i="81"/>
  <c r="AF193" i="81"/>
  <c r="AF181" i="81"/>
  <c r="AF180" i="81"/>
  <c r="AF177" i="81"/>
  <c r="AF175" i="81"/>
  <c r="AF171" i="81"/>
  <c r="AF170" i="81"/>
  <c r="AF169" i="81"/>
  <c r="AF168" i="81"/>
  <c r="AF167" i="81"/>
  <c r="AF164" i="81"/>
  <c r="AF163" i="81"/>
  <c r="AF160" i="81"/>
  <c r="AF159" i="81"/>
  <c r="AF158" i="81"/>
  <c r="AF154" i="81"/>
  <c r="AF152" i="81"/>
  <c r="AF132" i="81"/>
  <c r="AF130" i="81"/>
  <c r="AF126" i="81"/>
  <c r="AF120" i="81"/>
  <c r="AF118" i="81"/>
  <c r="AF358" i="81"/>
  <c r="AF354" i="81"/>
  <c r="AF353" i="81"/>
  <c r="AF350" i="81"/>
  <c r="AF349" i="81"/>
  <c r="AF347" i="81"/>
  <c r="AF346" i="81"/>
  <c r="AF341" i="81"/>
  <c r="AF337" i="81"/>
  <c r="AF336" i="81"/>
  <c r="AF329" i="81"/>
  <c r="AF328" i="81"/>
  <c r="AF310" i="81"/>
  <c r="AF303" i="81"/>
  <c r="AF267" i="81"/>
  <c r="AF265" i="81"/>
  <c r="AF252" i="81"/>
  <c r="AF249" i="81"/>
  <c r="AF243" i="81"/>
  <c r="AF241" i="81"/>
  <c r="AF240" i="81"/>
  <c r="AF239" i="81"/>
  <c r="AF238" i="81"/>
  <c r="AF235" i="81"/>
  <c r="AF222" i="81"/>
  <c r="AF220" i="81"/>
  <c r="AF213" i="81"/>
  <c r="AF212" i="81"/>
  <c r="AF211" i="81"/>
  <c r="AF210" i="81"/>
  <c r="AF206" i="81"/>
  <c r="AF204" i="81"/>
  <c r="AF203" i="81"/>
  <c r="AF201" i="81"/>
  <c r="AF200" i="81"/>
  <c r="AF198" i="81"/>
  <c r="AF197" i="81"/>
  <c r="AF190" i="81"/>
  <c r="AF189" i="81"/>
  <c r="AF173" i="81"/>
  <c r="AF153" i="81"/>
  <c r="AF149" i="81"/>
  <c r="AF148" i="81"/>
  <c r="AF147" i="81"/>
  <c r="AF146" i="81"/>
  <c r="AF145" i="81"/>
  <c r="AF144" i="81"/>
  <c r="AF143" i="81"/>
  <c r="AF142" i="81"/>
  <c r="AF129" i="81"/>
  <c r="AF128" i="81"/>
  <c r="AF122" i="81"/>
  <c r="AF115" i="81"/>
  <c r="AF113" i="81"/>
  <c r="AF110" i="81"/>
  <c r="AF108" i="81"/>
  <c r="AF105" i="81"/>
  <c r="AF101" i="81"/>
  <c r="AF99" i="81"/>
  <c r="AF98" i="81"/>
  <c r="AF97" i="81"/>
  <c r="AF96" i="81"/>
  <c r="AF94" i="81"/>
  <c r="AF84" i="81"/>
  <c r="AF83" i="81"/>
  <c r="AF79" i="81"/>
  <c r="AF77" i="81"/>
  <c r="AF75" i="81"/>
  <c r="AF73" i="81"/>
  <c r="AF72" i="81"/>
  <c r="AF71" i="81"/>
  <c r="AF70" i="81"/>
  <c r="AF68" i="81"/>
  <c r="AF66" i="81"/>
  <c r="AF65" i="81"/>
  <c r="AF62" i="81"/>
  <c r="AF60" i="81"/>
  <c r="AF58" i="81"/>
  <c r="AF57" i="81"/>
  <c r="AF55" i="81"/>
  <c r="AF46" i="81"/>
  <c r="AF35" i="81"/>
  <c r="AF25" i="81"/>
  <c r="AF22" i="81"/>
  <c r="AF21" i="81"/>
  <c r="AF131" i="81"/>
  <c r="AF125" i="81"/>
  <c r="AF124" i="81"/>
  <c r="AF114" i="81"/>
  <c r="AF107" i="81"/>
  <c r="AF100" i="81"/>
  <c r="AF95" i="81"/>
  <c r="AF93" i="81"/>
  <c r="AF92" i="81"/>
  <c r="AF82" i="81"/>
  <c r="AF81" i="81"/>
  <c r="AF80" i="81"/>
  <c r="AF78" i="81"/>
  <c r="AF76" i="81"/>
  <c r="AF74" i="81"/>
  <c r="AF69" i="81"/>
  <c r="AF67" i="81"/>
  <c r="AF64" i="81"/>
  <c r="AF63" i="81"/>
  <c r="AF61" i="81"/>
  <c r="AF59" i="81"/>
  <c r="AF56" i="81"/>
  <c r="AF48" i="81"/>
  <c r="AF43" i="81"/>
  <c r="AF42" i="81"/>
  <c r="AF40" i="81"/>
  <c r="AF39" i="81"/>
  <c r="AF36" i="81"/>
  <c r="AF34" i="81"/>
  <c r="AF33" i="81"/>
  <c r="AF28" i="81"/>
  <c r="AF20" i="81"/>
  <c r="AF13" i="81"/>
  <c r="L6" i="81"/>
  <c r="AF29" i="81"/>
  <c r="AF116" i="81"/>
  <c r="AF32" i="81"/>
  <c r="AF38" i="81"/>
  <c r="AF188" i="81"/>
  <c r="AF196" i="81"/>
  <c r="AF229" i="81"/>
  <c r="AF233" i="81"/>
  <c r="AF247" i="81"/>
  <c r="AF250" i="81"/>
  <c r="AF264" i="81"/>
  <c r="AF270" i="81"/>
  <c r="AF302" i="81"/>
  <c r="AF315" i="81"/>
  <c r="AF343" i="81"/>
  <c r="AF157" i="81"/>
  <c r="AF166" i="81"/>
  <c r="AF226" i="81"/>
  <c r="AF230" i="81"/>
  <c r="AF259" i="81"/>
  <c r="AF266" i="81"/>
  <c r="AF309" i="81"/>
  <c r="AF333" i="81"/>
  <c r="AF356" i="81"/>
  <c r="AF54" i="81"/>
  <c r="AF24" i="81"/>
  <c r="AF45" i="81"/>
  <c r="AF104" i="81"/>
  <c r="AF179" i="81"/>
  <c r="AF209" i="81"/>
  <c r="AF227" i="81"/>
  <c r="AF231" i="81"/>
  <c r="AF246" i="81"/>
  <c r="AF255" i="81"/>
  <c r="AF285" i="81"/>
  <c r="AF318" i="81"/>
  <c r="AF327" i="81"/>
  <c r="AF339" i="81"/>
  <c r="AF139" i="81"/>
  <c r="AF151" i="81"/>
  <c r="AF162" i="81"/>
  <c r="AF192" i="81"/>
  <c r="AF228" i="81"/>
  <c r="AF232" i="81"/>
  <c r="AF260" i="81"/>
  <c r="AF19" i="81"/>
  <c r="AF326" i="81"/>
  <c r="AF89" i="81"/>
  <c r="AF308" i="81"/>
  <c r="AF225" i="81"/>
  <c r="AF138" i="81"/>
  <c r="AF263" i="81"/>
  <c r="AF301" i="81"/>
  <c r="AF332" i="81"/>
  <c r="AF187" i="81"/>
  <c r="AF53" i="81"/>
  <c r="AF208" i="81"/>
  <c r="AF269" i="81"/>
  <c r="AF27" i="81"/>
  <c r="AF324" i="81"/>
  <c r="AF219" i="81"/>
  <c r="AF88" i="81"/>
  <c r="AF137" i="81"/>
  <c r="AF18" i="81"/>
  <c r="AF52" i="81"/>
  <c r="AF195" i="81"/>
  <c r="AF331" i="81"/>
  <c r="AF245" i="81"/>
  <c r="AF218" i="81"/>
  <c r="AF186" i="81"/>
  <c r="AF87" i="81"/>
  <c r="AF323" i="81"/>
  <c r="AF31" i="81"/>
  <c r="AF16" i="81"/>
  <c r="AF217" i="81"/>
  <c r="AF184" i="81"/>
  <c r="AO85" i="81"/>
  <c r="AP22" i="81"/>
  <c r="AF135" i="81"/>
  <c r="AF216" i="81"/>
  <c r="AM397" i="81" l="1"/>
  <c r="AQ22" i="81"/>
  <c r="AP85" i="81"/>
  <c r="AO133" i="81"/>
  <c r="AP105" i="81"/>
  <c r="AN397" i="81" l="1"/>
  <c r="AN86" i="81"/>
  <c r="AP133" i="81"/>
  <c r="AQ105" i="81"/>
  <c r="AQ85" i="81"/>
  <c r="AR22" i="81"/>
  <c r="AO397" i="81" l="1"/>
  <c r="AN134" i="81"/>
  <c r="AS22" i="81"/>
  <c r="AR85" i="81"/>
  <c r="AQ133" i="81"/>
  <c r="AR105" i="81"/>
  <c r="AP397" i="81" l="1"/>
  <c r="AS105" i="81"/>
  <c r="AR133" i="81"/>
  <c r="AS85" i="81"/>
  <c r="AU22" i="81"/>
  <c r="AQ397" i="81" l="1"/>
  <c r="AE85" i="81"/>
  <c r="AP86" i="81"/>
  <c r="AS133" i="81"/>
  <c r="AU105" i="81"/>
  <c r="AR397" i="81" l="1"/>
  <c r="AE133" i="81"/>
  <c r="AQ134" i="81"/>
  <c r="AS397" i="81" l="1"/>
  <c r="AE377" i="81" l="1"/>
  <c r="AE395" i="81" s="1"/>
  <c r="AL400" i="81" l="1"/>
  <c r="AM400" i="81"/>
  <c r="AJ400" i="81"/>
  <c r="AK400" i="81"/>
  <c r="AH400" i="81"/>
  <c r="AI400" i="81"/>
  <c r="AD12" i="82" l="1"/>
  <c r="AN399" i="81"/>
  <c r="AH399" i="81"/>
  <c r="AH402" i="81" s="1"/>
  <c r="AK399" i="81"/>
  <c r="AK402" i="81" s="1"/>
  <c r="AJ399" i="81"/>
  <c r="AJ402" i="81" s="1"/>
  <c r="AS399" i="81"/>
  <c r="AR399" i="81"/>
  <c r="AI399" i="81"/>
  <c r="AI402" i="81" s="1"/>
  <c r="AL399" i="81"/>
  <c r="AL402" i="81" s="1"/>
  <c r="AO399" i="81"/>
  <c r="AQ399" i="81"/>
  <c r="AP399" i="81"/>
  <c r="AM399" i="81"/>
  <c r="AM402" i="81" s="1"/>
  <c r="AI401" i="81"/>
  <c r="AJ401" i="81" l="1"/>
  <c r="AK401" i="81" l="1"/>
  <c r="AL401" i="81" l="1"/>
  <c r="AM401" i="81" l="1"/>
  <c r="AO396" i="81" l="1"/>
  <c r="AP396" i="81"/>
  <c r="AN396" i="81"/>
  <c r="AN398" i="81" s="1"/>
  <c r="AO398" i="81" l="1"/>
  <c r="AP398" i="81" s="1"/>
  <c r="AN401" i="81"/>
  <c r="AN400" i="81"/>
  <c r="AN402" i="81" s="1"/>
  <c r="AP400" i="81" l="1"/>
  <c r="AP402" i="81" s="1"/>
  <c r="AQ398" i="81"/>
  <c r="AO401" i="81"/>
  <c r="AO400" i="81"/>
  <c r="AO402" i="81" s="1"/>
  <c r="AP401" i="81"/>
  <c r="AQ400" i="81" l="1"/>
  <c r="AQ402" i="81" s="1"/>
  <c r="AR398" i="81"/>
  <c r="AQ401" i="81"/>
  <c r="AR400" i="81" l="1"/>
  <c r="AR402" i="81" s="1"/>
  <c r="AS398" i="81"/>
  <c r="AR401" i="81"/>
  <c r="AS400" i="81" l="1"/>
  <c r="AS402" i="81" s="1"/>
  <c r="AS401" i="81"/>
</calcChain>
</file>

<file path=xl/comments1.xml><?xml version="1.0" encoding="utf-8"?>
<comments xmlns="http://schemas.openxmlformats.org/spreadsheetml/2006/main">
  <authors>
    <author>Customer</author>
  </authors>
  <commentList>
    <comment ref="J25" authorId="0" shapeId="0">
      <text>
        <r>
          <rPr>
            <sz val="9"/>
            <color indexed="81"/>
            <rFont val="Tahoma"/>
            <family val="2"/>
          </rPr>
          <t>Biaya kerusakan berat</t>
        </r>
      </text>
    </comment>
    <comment ref="J26" authorId="0" shapeId="0">
      <text>
        <r>
          <rPr>
            <sz val="9"/>
            <color indexed="81"/>
            <rFont val="Tahoma"/>
            <family val="2"/>
          </rPr>
          <t>Biaya kerusakan ringan</t>
        </r>
      </text>
    </comment>
    <comment ref="J32" authorId="0" shapeId="0">
      <text>
        <r>
          <rPr>
            <sz val="9"/>
            <color indexed="81"/>
            <rFont val="Tahoma"/>
            <family val="2"/>
          </rPr>
          <t>Biaya kerusakan ringan</t>
        </r>
      </text>
    </comment>
    <comment ref="J33" authorId="0" shapeId="0">
      <text>
        <r>
          <rPr>
            <sz val="9"/>
            <color indexed="81"/>
            <rFont val="Tahoma"/>
            <family val="2"/>
          </rPr>
          <t>Biaya kerusakan berat</t>
        </r>
      </text>
    </comment>
    <comment ref="J116" authorId="0" shapeId="0">
      <text>
        <r>
          <rPr>
            <b/>
            <sz val="9"/>
            <color indexed="81"/>
            <rFont val="Tahoma"/>
            <family val="2"/>
          </rPr>
          <t>Nilai ini terdiri dari :
1. Rehab sesuai studi kinerja
2. Tambahan untuk pembuatan papan pasten dan bangunan ukur debit Rp 250 jt
3. Estimasi tambahan untuk pembangunan saluran alam.</t>
        </r>
      </text>
    </comment>
  </commentList>
</comments>
</file>

<file path=xl/sharedStrings.xml><?xml version="1.0" encoding="utf-8"?>
<sst xmlns="http://schemas.openxmlformats.org/spreadsheetml/2006/main" count="1998" uniqueCount="614">
  <si>
    <t>Honorarium PNS</t>
  </si>
  <si>
    <t>JENIS</t>
  </si>
  <si>
    <t>BELANJA</t>
  </si>
  <si>
    <t>Jumlah</t>
  </si>
  <si>
    <t>(Rp)</t>
  </si>
  <si>
    <t>01</t>
  </si>
  <si>
    <t>Urusan Pemerintahan</t>
  </si>
  <si>
    <t>1.03 Urusan Wajib Pekerjaan Umum</t>
  </si>
  <si>
    <t>Organisasi</t>
  </si>
  <si>
    <t>Waktu Pelaksanaan</t>
  </si>
  <si>
    <t>02</t>
  </si>
  <si>
    <t>BELANJA BARANG DAN JASA</t>
  </si>
  <si>
    <t>06</t>
  </si>
  <si>
    <t>NAMA JENIS BELANJA</t>
  </si>
  <si>
    <t>Alokasi Anggaran</t>
  </si>
  <si>
    <t>(5)</t>
  </si>
  <si>
    <t>Belanja Cetak dan Penggandaan</t>
  </si>
  <si>
    <t>Belanja Bahan Pakai Habis</t>
  </si>
  <si>
    <t>Belanja alat tulis kantor</t>
  </si>
  <si>
    <t>NOMOR KODE</t>
  </si>
  <si>
    <t>Bobot</t>
  </si>
  <si>
    <t>(%)</t>
  </si>
  <si>
    <t>(1)</t>
  </si>
  <si>
    <t>Tahun Anggaran</t>
  </si>
  <si>
    <t>:</t>
  </si>
  <si>
    <t>(2)</t>
  </si>
  <si>
    <t>(3)</t>
  </si>
  <si>
    <t>(4)</t>
  </si>
  <si>
    <t>Anggaran</t>
  </si>
  <si>
    <t>4</t>
  </si>
  <si>
    <t>Belanja Makanan dan Minuman</t>
  </si>
  <si>
    <t>1.03.01 Dinas Pekerjaan Umum</t>
  </si>
  <si>
    <t>21</t>
  </si>
  <si>
    <t xml:space="preserve"> </t>
  </si>
  <si>
    <t>Honorarium Tim Pengadaan Barang dan Jasa.</t>
  </si>
  <si>
    <t>a.</t>
  </si>
  <si>
    <t>b.</t>
  </si>
  <si>
    <t>-</t>
  </si>
  <si>
    <t>Belanja Alat Tulis Kantor</t>
  </si>
  <si>
    <t>Belanja Makanan dan Minuman Rapat</t>
  </si>
  <si>
    <t>c.</t>
  </si>
  <si>
    <t>d.</t>
  </si>
  <si>
    <t>e.</t>
  </si>
  <si>
    <t>f.</t>
  </si>
  <si>
    <t>g.</t>
  </si>
  <si>
    <t>Belanja Pegawai.</t>
  </si>
  <si>
    <t>Honorarium Panitia Pelaksana Kegiatan</t>
  </si>
  <si>
    <t>Belanja Bahan Material</t>
  </si>
  <si>
    <t>Belanja Pakaian Khusus dan Hari-hari tertentu</t>
  </si>
  <si>
    <t>Belanja Pakaian Batik Tradisional Fasilitasi Dewan SDA Prov. NTB</t>
  </si>
  <si>
    <t xml:space="preserve">Belanja Perjalanan Dinas </t>
  </si>
  <si>
    <t>Honorarium PNS.</t>
  </si>
  <si>
    <t>03</t>
  </si>
  <si>
    <t>Honorarium Tim Pemeriksa Barang dan Jasa.</t>
  </si>
  <si>
    <t>07</t>
  </si>
  <si>
    <t>BELANJA LANGSUNG.</t>
  </si>
  <si>
    <t>Belanja Bahan/Material</t>
  </si>
  <si>
    <t>Belanja Perjalanan Dinas.</t>
  </si>
  <si>
    <t>Belanja Pegawai</t>
  </si>
  <si>
    <t>Alat Tulis Kantor</t>
  </si>
  <si>
    <t>Honorarium Panitia Pelaksana Kegiatan.</t>
  </si>
  <si>
    <t>Belanja Sewa Ruang Rapat/pertemuan.</t>
  </si>
  <si>
    <t>Belanja Perjalanan Dinas Luar Daerah.</t>
  </si>
  <si>
    <t xml:space="preserve">RENCANA PENYERAPAN ANGGARAN </t>
  </si>
  <si>
    <t>2014</t>
  </si>
  <si>
    <t>01 Januari 2014 - 31 Desember 2014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</si>
  <si>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</si>
  <si>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</si>
  <si>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</si>
  <si>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</si>
  <si>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</si>
  <si>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</si>
  <si>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</si>
  <si>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</si>
  <si>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</si>
  <si>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</si>
  <si>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</si>
  <si>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</si>
  <si>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Rencana Penyerapan</t>
  </si>
  <si>
    <t>Honorarium tim teknis  kegiatan perencanaan (sesuai SK Tim)</t>
  </si>
  <si>
    <t xml:space="preserve">Honor Pejabat Pengadaan Barang/Jasa </t>
  </si>
  <si>
    <t>Honor panitia penerima hasil pekerjaan konsultan</t>
  </si>
  <si>
    <t>Honor pejabat penerima hasil pekerjaan konsultan</t>
  </si>
  <si>
    <t>Belanja Barang dan Jasa</t>
  </si>
  <si>
    <t>ATK operasional keg. perencanaan</t>
  </si>
  <si>
    <t>ATK operasional keg. perencanaan irigasi partisipatif Program WISMP-II</t>
  </si>
  <si>
    <t>ATK operasional keg. PPIU dalam Program WISMP-II</t>
  </si>
  <si>
    <t xml:space="preserve">Belanja bahan Publikasi/dokumentasi/dekorasi </t>
  </si>
  <si>
    <t>Belanja Penggandaan</t>
  </si>
  <si>
    <t xml:space="preserve">Belanja Perjalanan Dinas dalam daerah </t>
  </si>
  <si>
    <t xml:space="preserve">Belanja Perjalanan Dinas Luar Daerah </t>
  </si>
  <si>
    <t>Belanja Jasa Konsultansi</t>
  </si>
  <si>
    <t>Belanja konsultansi Perencanaan</t>
  </si>
  <si>
    <t>Belanja Konsultan Perencana Pembangunan/Rehabilitasi Prasarana SDA</t>
  </si>
  <si>
    <t>Detail Desain Irigasi Partisipatif DI Santong, Lombok Utara (WISMP-II)</t>
  </si>
  <si>
    <t>Detail Desain Irigasi Partisipatif DI Gebong, Lombok Barat (WISMP-II)</t>
  </si>
  <si>
    <t>Detail Desain Irigasi Partisipatif DISesaot, Lombok Barat (WISMP-II)</t>
  </si>
  <si>
    <t>Detail Desain Irigasi Partisipatif DI Rutus, Lombok Tengah (WISMP-II)</t>
  </si>
  <si>
    <t>Detail Desain Irigasi Partisipatif DI Katon, Lombok Tengah (WISMP-II)</t>
  </si>
  <si>
    <t>Detail Desain Irigasi Partisipatif DI Sambelia, Lombok Timur (WISMP-II)</t>
  </si>
  <si>
    <t>Detail Desain Irigasi Partisipatif DI Sakra, Lombok Timur (WISMP-II)</t>
  </si>
  <si>
    <t>Detail Desain Irigasi Partisipatif DI Belanting, Lombok Timur (WISMP-II)</t>
  </si>
  <si>
    <t>Detail Desain Irigasi Partisipatif DI Bringin Sila, Sumbawa (WISMP-II)</t>
  </si>
  <si>
    <t>Detail Desain Irigasi Partisipatif DI Palampo'o, Sumbawa (WISMP-II)</t>
  </si>
  <si>
    <t>Detail Desain Irigasi Partisipatif DI Buer Kompleks, Sumbawa (WISMP-II)</t>
  </si>
  <si>
    <t>Detail Desain Irigasi Partisipatif DI Semangi, Sumbawa (WISMP-II)</t>
  </si>
  <si>
    <t>Detail Desain Irigasi Partisipatif DI Laju, Dompu (WISMP-II)</t>
  </si>
  <si>
    <t>Detail Desain Irigasi Partisipatif DI Daha II, Dompu (WISMP-II)</t>
  </si>
  <si>
    <t>Detail Desain Irigasi Partisipatif DI Ncangakai, Bima (WISMP-II)</t>
  </si>
  <si>
    <t>DD Jaringan Irigasi DI Kancu, Dompu</t>
  </si>
  <si>
    <t>DD DI Madapangga  II, Bima</t>
  </si>
  <si>
    <t>DD Jaringan Irigasi DI Elang Desa, 1.300 ha</t>
  </si>
  <si>
    <t>Studi Database Pemutakhiran Luas Areal Irigasi  P. Lombok</t>
  </si>
  <si>
    <t>Studi Database Pemutakhiran Luas Areal Irigasi  P. Sumbawa</t>
  </si>
  <si>
    <t>DED JILK Patea Desa Beriri Jarak, Kec. Wanasaba, Lombok Timur</t>
  </si>
  <si>
    <t>Identifikasi Kerusakan Pantai Pulau Lombok dan Sumbawa</t>
  </si>
  <si>
    <t>Perencanaan Normalisasi Sungai Sorinomo, Kab. Dompu</t>
  </si>
  <si>
    <t>DD Perkuatan Tebing Sori Bamba, Madapangga, Bima</t>
  </si>
  <si>
    <t>Studi Database Pemutakhiran Prasarana Sungai P. Lombok</t>
  </si>
  <si>
    <t>Belanja Hibah Barang/Jasa</t>
  </si>
  <si>
    <t>BELANJA LANGSUNG</t>
  </si>
  <si>
    <t>Belanja Hibah Barang dan/atau Jasa yang diserahkan kepada pihak ketiga/masyarakat</t>
  </si>
  <si>
    <t>Belanja Pembangunan JI</t>
  </si>
  <si>
    <t>Pembangunan Jaringan Irigasi Mbelu, Wera, Bima</t>
  </si>
  <si>
    <t>Pembangunan JILK  Sapit, Kec. Suela, Lombok Timur</t>
  </si>
  <si>
    <t>Pembangunan JILK  Singalang-alang, Desa Leseng, Kec. Moyo Hulu, Sumbawa</t>
  </si>
  <si>
    <t>Pembangunan JILK Embung Jeringo</t>
  </si>
  <si>
    <t>Pembangunan JILK Kampih</t>
  </si>
  <si>
    <t>Pembangunan JILK Perpipaan Kawasan Pertanian Terpadu Agrotamase Desa Jurumapin Kec. Buer, Kab. Sumbawa</t>
  </si>
  <si>
    <t>Honor Panitia Pelaksana Kegiatan</t>
  </si>
  <si>
    <t>Belanja publikasi dan dokumentasi</t>
  </si>
  <si>
    <t>Belanja Perjalanan Dinas Luar Daerah</t>
  </si>
  <si>
    <t>Belanja Perjalanan Dinas Dalam Daerah</t>
  </si>
  <si>
    <t>Belanja Perjalanan Dinas</t>
  </si>
  <si>
    <t>Belanja Konsultan Pengawasan</t>
  </si>
  <si>
    <t>Pengawasan Pembangunan Jaringan Irigasi Bendung Aik Mual, KSB</t>
  </si>
  <si>
    <t>Pengawasan Pembangunan JILK Singalang-alang, Sumbawa</t>
  </si>
  <si>
    <t>Pengawasan Pembangunan JILK Sapit, Suela, Lombok Timur</t>
  </si>
  <si>
    <t>Pengawasan Pembangunan JILK Agrotamase Jurumapin, Sumbawa</t>
  </si>
  <si>
    <t>Honorarium Tim Penerima Hasil Pekerjaan (PHO)</t>
  </si>
  <si>
    <t>BIDANG SDA</t>
  </si>
  <si>
    <t>Belanja Pelaksanaan Pembangunan Embung</t>
  </si>
  <si>
    <t>Pemb. Embung Sayong Cendi Manik, Kec. Sekotong Timur, Lombok Barat</t>
  </si>
  <si>
    <t>Pemb. Embung Mangkung, Lombok Tengah</t>
  </si>
  <si>
    <t>Belanja Konsultansi Pengawasan</t>
  </si>
  <si>
    <t>Pengawasan Pemb. Embung di Kec. Gerung</t>
  </si>
  <si>
    <t>Pengawasan Pemb. Embung Sayong, di Kec. Sekotong</t>
  </si>
  <si>
    <t>Pengawasan Pemb. Embung Senang Galih, Lombok Timur</t>
  </si>
  <si>
    <t>Pengawasan Pemb. Embung Singalang-alang, Moyo Hulu, Sumbawa</t>
  </si>
  <si>
    <t>ATK keg. perencanaan</t>
  </si>
  <si>
    <t>Belanja Konsultan Perencanaan</t>
  </si>
  <si>
    <t>DD Embung Sayong, Sekotong, Lobar</t>
  </si>
  <si>
    <t>DD Embung Mandawa, Sekotong, Lobar</t>
  </si>
  <si>
    <t>DD Embung Batu Putih, Sekotong, Lobar</t>
  </si>
  <si>
    <t>Honorarium Tim Teknis Kegiatan Perencanaan (Sesuai SK Tim)</t>
  </si>
  <si>
    <t>Belanja Modal</t>
  </si>
  <si>
    <t>Belanja Modal Pengadaan Konstruksi Jaringan Air</t>
  </si>
  <si>
    <t>Belanja Modal Pengadaan Konstruksi Kanal Permukaan</t>
  </si>
  <si>
    <t>Pemb. Konstruksi Pengendali Banjir Sungai Dodokan, Gerung, Lombok Barat</t>
  </si>
  <si>
    <t>Honorarium Tim Pengadaan Barang dan Jasa Konsultansi</t>
  </si>
  <si>
    <t>Pejabat Pengadaan Barang dan Jasa Konsultansi</t>
  </si>
  <si>
    <t>Panitia Penerima Hasil Pekerjaan Konstruksi (PHO)</t>
  </si>
  <si>
    <t>Panitia Penerima Hasil Pekerjaan Konsultansi</t>
  </si>
  <si>
    <t>ATK</t>
  </si>
  <si>
    <t>Belanja Bahan dan material</t>
  </si>
  <si>
    <t>Dokumentasi</t>
  </si>
  <si>
    <t>Fotocopy dokumen, disposisi dan surat menyurat</t>
  </si>
  <si>
    <t>Belanja Perjalanan Dinas dalam daerah</t>
  </si>
  <si>
    <t>Belanja Konsultansi</t>
  </si>
  <si>
    <t>Perencanaan Konstruksi Pengendali Banjir Sungai Dodokan, Gerung, Lobar</t>
  </si>
  <si>
    <t>Pengawasan Pemb. Konstruksi Pengendali Banjir Sungai Dodokan, Gerung, Lombok Barat</t>
  </si>
  <si>
    <t>Total</t>
  </si>
  <si>
    <t>Kegiatan Dewan SDA</t>
  </si>
  <si>
    <t>Kegiatan Sosialisasi Dewan SDA</t>
  </si>
  <si>
    <t>Kegiatan Pembuatan Perda PSDA</t>
  </si>
  <si>
    <t>Kegiatan Komir</t>
  </si>
  <si>
    <t>Kegiatan Lomba Penulisan Karya Ilmiah Tk. Perguruan Tinggi</t>
  </si>
  <si>
    <t>Kegiatan Lomba Juru Pintu dan Pengamat Pengairan</t>
  </si>
  <si>
    <t>Honorarium Tim Pengadaan Barang dan Jasa</t>
  </si>
  <si>
    <t>Pejabat Pengadaan Barang/Jasa</t>
  </si>
  <si>
    <t>Honorarium Tim Pemeriksa Barang dan Jasa</t>
  </si>
  <si>
    <t xml:space="preserve">Pejabat Penerima Hasil Pekerjaan </t>
  </si>
  <si>
    <t>Pejabat Pembuat Komitmen (PPK)</t>
  </si>
  <si>
    <t>Pelatihan dan Dewan SDA</t>
  </si>
  <si>
    <t>09</t>
  </si>
  <si>
    <t>Belanja Tropy/Hadiah Penghargaan</t>
  </si>
  <si>
    <t>Belanja Tropy/hadiah/penghargaan lomba juru pintu tk. Provinsi</t>
  </si>
  <si>
    <t>Belanja Tropy/hadiah/penghargaan lomba pengamat pengairan tk. Provinsi</t>
  </si>
  <si>
    <t>Belanja Tropy/hadiah/penghargaan lomba karya ilmiah tk. Universitas</t>
  </si>
  <si>
    <t>Belanja Bahan Publikasi/dokumentasi/dekorasi</t>
  </si>
  <si>
    <t>Dokumentasi kegiatan pelatihan dan Dewan SDA</t>
  </si>
  <si>
    <t>Belanja Jasa Kantor</t>
  </si>
  <si>
    <t>Belanja Jasa Tenaga Ahli/Instruktur/Narasumber/Peneliti</t>
  </si>
  <si>
    <t>Honorer tenaga ahli BWRM</t>
  </si>
  <si>
    <t xml:space="preserve">Belanja Cetak </t>
  </si>
  <si>
    <t>Belanja  Sewa Rumah/Gedung/Gudang/Parkir</t>
  </si>
  <si>
    <t>Sewa Ruang Rapat/Pertemuan Kegiatan</t>
  </si>
  <si>
    <t>Belanja Sewa Penginapan/asrama</t>
  </si>
  <si>
    <t>Sewa Penginapan/asrama</t>
  </si>
  <si>
    <t xml:space="preserve">Perjalanan Dinas Dalam Daerah </t>
  </si>
  <si>
    <t xml:space="preserve">Perjalanan Dinas Luar Daerah </t>
  </si>
  <si>
    <t>Belanja Kursus, Pelatihan, Sosialisasi, dan Bimbingan Teknis PNS</t>
  </si>
  <si>
    <t>Belanja Sosialisasi</t>
  </si>
  <si>
    <t>Lomba penulisan karya ilmiah Tk. SMU dan Perguruan Tinggi Hari Air Sedunia</t>
  </si>
  <si>
    <t>Dokumentasi rapat teknis kegiatan Perencanaan</t>
  </si>
  <si>
    <t>Honor Pengawas 3 org x 5 bln</t>
  </si>
  <si>
    <t>Honor Pengawas Utama 1 org x 5 bln</t>
  </si>
  <si>
    <t>PROG. : 1.03.01.24</t>
  </si>
  <si>
    <t>PENGEMB. DAN PENGELOLAAN JARINGAN IRIGASI; RAWA DAN JARINGAN PENGAIRAN LAINNYA</t>
  </si>
  <si>
    <t xml:space="preserve">Keg. : 1.03.01.24.01 </t>
  </si>
  <si>
    <t>PERENCANAAN PEMBANGUNAN JARINGAN IRIGASI</t>
  </si>
  <si>
    <t>PEMBANGUNAN JARINGAN IRIGASI</t>
  </si>
  <si>
    <t xml:space="preserve">Keg. : 1.03.01.24.18 </t>
  </si>
  <si>
    <t>PROG. : 1.03.01.26</t>
  </si>
  <si>
    <t xml:space="preserve">Keg. : 1.03.01.26.01. </t>
  </si>
  <si>
    <t>PEMB. EMBUNG DAN BANGUNAN PENAMPUNG AIR LAINNYA.</t>
  </si>
  <si>
    <t>PENGEMB. DAN PENGELOLAAN, DAN KONSERVASI SUNGAI, DANAU DAN SUMBER DAYA AIR LAINNYA</t>
  </si>
  <si>
    <t xml:space="preserve">Keg. : 1.03.01.26.15. </t>
  </si>
  <si>
    <t>PERENC. PEMB. EMBUNG DAN BANGUNAN PENAMPUNG AIR LAINNYA</t>
  </si>
  <si>
    <t>PENINGK. PENGELOLAAN SDA. BERBASIS WIL SUNGAI.</t>
  </si>
  <si>
    <t xml:space="preserve">Keg. : 1.03.01.26.25. </t>
  </si>
  <si>
    <t>PROGRAM PENGENDALIAN BANJIR.</t>
  </si>
  <si>
    <t xml:space="preserve">PROG. : 1.03.01.28. </t>
  </si>
  <si>
    <t xml:space="preserve">Keg.: 1.03.01.28.06. Pengendalian Banjir Pada Daerah Tangkapan Air dan </t>
  </si>
  <si>
    <t>PENGENDALIAN BANJIR PADA DAERAH TANGKAPAN AIR DAN BADAN-BADAN SUNGAI</t>
  </si>
  <si>
    <t>Triwulan 1, 2, 3, 4</t>
  </si>
  <si>
    <t>Kepala Bidang Sumber Daya Air</t>
  </si>
  <si>
    <t>Ahlul Wakti, ST.,MT.</t>
  </si>
  <si>
    <t>NIP. 19661231 199803 1 047</t>
  </si>
  <si>
    <t>Belanja Perjalanan Dinas Luar Daerah (WISMP)</t>
  </si>
  <si>
    <t>Studi Tingkat Sedimentasi Daerah Irigasi Gebong, Lombok Barat</t>
  </si>
  <si>
    <t>Studi  Tingkat Sedimentasi Daerah Irigasi Surabaya, Lombok Tengah</t>
  </si>
  <si>
    <t>Studi  Tingkat Sedimentasi Daerah Irigasi Rutus, Lombok Timur</t>
  </si>
  <si>
    <t>Studi Tingkat Sedimentasi Daerah Irigasi Bagek Kembar, Lombok Utara</t>
  </si>
  <si>
    <t>DD JILK Perpipaan Kawasan Pertanian Terpadu Agrotemase Jurumapin, Sumbawa</t>
  </si>
  <si>
    <t>Pembangunan JILK Kesubakan Paok Desa Sakra, Kec. Sakra, Lombok Timur</t>
  </si>
  <si>
    <t>Pembangunan JILK  Luwuk Lauk Kayu Putih Desa Tempos Kec. Gerung Lobar</t>
  </si>
  <si>
    <t>Pembangunan Bendung Ai Mual, Jereweh, Sumbawa Barat</t>
  </si>
  <si>
    <t>Honorarium Panitia Penerima Hasil Pekerjaan (PHO) 50 jt sd.500 jt</t>
  </si>
  <si>
    <t xml:space="preserve">Honorarium </t>
  </si>
  <si>
    <t>Pejabat Pengadaan barang/Jasa nilai50 jt sd.500 jt 1 org x 5 keg</t>
  </si>
  <si>
    <t>Pejabat Pengadaan barang/Jasa Konsultansi 1 org x 4 keg</t>
  </si>
  <si>
    <t>Pejabat Penerima hasil pekerjaan 1 org x 5 keg</t>
  </si>
  <si>
    <t>Panitia Penerima hasil pekerjaan (PHO) 500 jt sd. 1 milyar</t>
  </si>
  <si>
    <t>Honor Pejabat Pembuat Komitmen</t>
  </si>
  <si>
    <t>PPK1 org x 12 bln</t>
  </si>
  <si>
    <t xml:space="preserve">Pemb. Embung Senang Galih, Sambelia, Lombok Timur </t>
  </si>
  <si>
    <t xml:space="preserve">Pemb. Embung Singalang-alang, Leseng, Moyo Hulu, Sumbawa </t>
  </si>
  <si>
    <t>Pemb. Embung Pengendong Dusun Lingkok Lauk Desa Wakan Kec. Jerowaru, Lotim</t>
  </si>
  <si>
    <t>Pemb. Embung Selerang, Giri Tembesi, Gerung, Lombok Barat</t>
  </si>
  <si>
    <t>Pemb. Embung Ternak Kesume, Banyu Urip, Gerung, Lombok Barat</t>
  </si>
  <si>
    <t>- PPK  1 org x 12 bln</t>
  </si>
  <si>
    <t>- Pengawas Utama 1 org x 6 bln</t>
  </si>
  <si>
    <t>- Pengawas  5 org x 6 bln</t>
  </si>
  <si>
    <t xml:space="preserve">Honorarium Pejabat Pengadaan barang/Jasa </t>
  </si>
  <si>
    <t>- Pejabat Pengadaan barang/Jasa Konsultansi 1 org x 4 keg</t>
  </si>
  <si>
    <t>- Pejabat Pengadaan barang/Jasa Konstruksi 1 org x 2 keg</t>
  </si>
  <si>
    <t>Honorarium Panitia Penerima Hasil Pekerjaan (PHO) nilai 500 jt sd.1 M</t>
  </si>
  <si>
    <t>- Panitia 3 org x 3 keg</t>
  </si>
  <si>
    <t>- Panitia 3 org x 2 keg</t>
  </si>
  <si>
    <t>Honorarium Panitia Penerima Hasil Pekerjaan (PHO) nilai 50 jt sd. 500 jt</t>
  </si>
  <si>
    <t>Honorarium Pejabat Penerima Hasil Pekerjaan (PHO) nilai 50 jt sd.200 jt</t>
  </si>
  <si>
    <t>- Pejabat 1 org x 1 keg</t>
  </si>
  <si>
    <t>seharusnya 2 keg</t>
  </si>
  <si>
    <t>belum ada nilainya</t>
  </si>
  <si>
    <t>Penjilidan Dokumen Pengadaan Barang/Jasa Konsultansi</t>
  </si>
  <si>
    <t>seharusnya kode 03</t>
  </si>
  <si>
    <t>belum sesuai volume &amp; harga</t>
  </si>
  <si>
    <t>Belanja Kursus-kursus singkat/Pelatihan</t>
  </si>
  <si>
    <t>Pelatihan Pengelolaan Aset Irigasi (PAI) staf dinas</t>
  </si>
  <si>
    <t>Honor Pejabat Pembuat Komitmen (PPK)</t>
  </si>
  <si>
    <t>No. DPA : 005/DPA/TAPD/2014</t>
  </si>
  <si>
    <t xml:space="preserve">                2 Januari 2014       </t>
  </si>
  <si>
    <t>- Pelatihan GP3A Desain Partisipatif</t>
  </si>
  <si>
    <t>- Rapat Teknis Komir</t>
  </si>
  <si>
    <t>- Pelatihan GP3A Konstruksi  Partisipatif</t>
  </si>
  <si>
    <t>Kegiatan Pelatihan Kelembagaan Partisipatif (WISMP)</t>
  </si>
  <si>
    <t>- Pelatihan Desain Irigasi Partisipatif utk staf dinas</t>
  </si>
  <si>
    <t>- Pelatihan Konstruksi Irigasi Partisipatif utk staf dinas</t>
  </si>
  <si>
    <t>- Pelatihan Jaminan Mutu (QA) prog WISMP</t>
  </si>
  <si>
    <t>- Sosialisasi Perda Irigasi Prov. NTB (Perda No. 2/2010) prog. WISMP</t>
  </si>
  <si>
    <t>- TOT  Dinas PU, Desain, Konstruksi dan OP Partisipatif</t>
  </si>
  <si>
    <t>- Pelatihan Penyusunan Tim Jaminan Mutu (QA) prog WISMP</t>
  </si>
  <si>
    <t>- Sidang Dewan SDA 3 kali</t>
  </si>
  <si>
    <t>- Sosialisasi Dewan SDA 1 kali</t>
  </si>
  <si>
    <t>- Komir 2 kali</t>
  </si>
  <si>
    <t>- Pelatihan Pengelolaan Aset Irigasi (PAI)</t>
  </si>
  <si>
    <t>- Pelatihan Sosialisasi Perda Aset Irigasi Prov. NTB (Perda No.2/2010)</t>
  </si>
  <si>
    <t>- Lomba Juru Pintu dan Pengamat</t>
  </si>
  <si>
    <t>- TOT Dinas, Konstruksi dan OP Partisipatif</t>
  </si>
  <si>
    <t xml:space="preserve"> Kegiatan 24.01</t>
  </si>
  <si>
    <t xml:space="preserve"> Kegiatan 24.18</t>
  </si>
  <si>
    <t xml:space="preserve"> Kegiatan 26.01</t>
  </si>
  <si>
    <t xml:space="preserve"> Kegiatan 26.25</t>
  </si>
  <si>
    <t xml:space="preserve"> Kegiatan 28.06</t>
  </si>
  <si>
    <t>Program /   Kegiatan</t>
  </si>
  <si>
    <t>Pagu Anggaran (Rp)</t>
  </si>
  <si>
    <t>Rencana Penyerapan Tiap Bulan</t>
  </si>
  <si>
    <t>Agustus</t>
  </si>
  <si>
    <t>September</t>
  </si>
  <si>
    <t>Oktober</t>
  </si>
  <si>
    <t>Nopember</t>
  </si>
  <si>
    <t>Desember</t>
  </si>
  <si>
    <t>Juli</t>
  </si>
  <si>
    <t>Juni</t>
  </si>
  <si>
    <t>April</t>
  </si>
  <si>
    <t>Maret</t>
  </si>
  <si>
    <t>Februari</t>
  </si>
  <si>
    <t>Januari</t>
  </si>
  <si>
    <t>Komulatif (Rp)</t>
  </si>
  <si>
    <t>Komulatif (%)</t>
  </si>
  <si>
    <t>Mataram, 13 Januari 2014</t>
  </si>
  <si>
    <t>Sisa</t>
  </si>
  <si>
    <t>Rcn./</t>
  </si>
  <si>
    <t>Real</t>
  </si>
  <si>
    <t>Rcn.</t>
  </si>
  <si>
    <t>Deviasi</t>
  </si>
  <si>
    <t>Rp</t>
  </si>
  <si>
    <t>%</t>
  </si>
  <si>
    <t>RENCANA PENYERAPAN ANGGARAN KAS</t>
  </si>
  <si>
    <t>No. DPA</t>
  </si>
  <si>
    <t>: 005/DPA/TAPD/2014</t>
  </si>
  <si>
    <t>Tgl. DPA</t>
  </si>
  <si>
    <t>: 2 JANUARI 2014</t>
  </si>
  <si>
    <t>Total keg.</t>
  </si>
  <si>
    <t>Komulatif</t>
  </si>
  <si>
    <t>Keterangan :</t>
  </si>
  <si>
    <t xml:space="preserve">= Rencana </t>
  </si>
  <si>
    <t xml:space="preserve">= Realisasi </t>
  </si>
  <si>
    <t>GRAFIK RENCANA DAN REALISASI PENYERAPAN ANGGARAN KAS</t>
  </si>
  <si>
    <t>NO</t>
  </si>
  <si>
    <t>LOKASI</t>
  </si>
  <si>
    <t>REALISASI</t>
  </si>
  <si>
    <t>Lobar</t>
  </si>
  <si>
    <t>Loteng</t>
  </si>
  <si>
    <t>Lotim</t>
  </si>
  <si>
    <t>Sumbawa</t>
  </si>
  <si>
    <t>Dompu</t>
  </si>
  <si>
    <t>Bima</t>
  </si>
  <si>
    <t>KSB</t>
  </si>
  <si>
    <t>PERENC. PEMB. EMBUNG DAN BANGUNAN PENAMPUNG LAINNYA</t>
  </si>
  <si>
    <t>SPJ s/d saat ini</t>
  </si>
  <si>
    <t>SPJ saat ini</t>
  </si>
  <si>
    <t>No</t>
  </si>
  <si>
    <t>e</t>
  </si>
  <si>
    <t>Pagu</t>
  </si>
  <si>
    <t>PERINCIAN SPJ PER KODE REKENING KEGIATAN 26.25</t>
  </si>
  <si>
    <t>U  r  a  i  a  n</t>
  </si>
  <si>
    <t>26.25</t>
  </si>
  <si>
    <t>Peningkatan Pengelolaan SDA Berbasis WS</t>
  </si>
  <si>
    <t>Dana DPA</t>
  </si>
  <si>
    <t>Studi Kinerja Daerah Irigasi Gebong, Lombok Barat</t>
  </si>
  <si>
    <t>Studi Kinerja Daerah Irigasi Sesaot, Lombok Barat</t>
  </si>
  <si>
    <t>Studi Kinerja Daerah Irigasi Gde Bongoh, Lombok Tengah</t>
  </si>
  <si>
    <t>Studi Kinerja Daerah Irigasi Marongge Kompleks, Sikur, Lombok Timur</t>
  </si>
  <si>
    <t>Studi Kinerja Daerah Irigasi Plampo'o Taliwang, Sumbawa Barat</t>
  </si>
  <si>
    <t>Studi Kinerja Daerah Irigasi Pungkit Lape, Sumbawa</t>
  </si>
  <si>
    <t>Studi Kinerja Daerah Irigasi Embung Gapit, Empang, Sumbawa</t>
  </si>
  <si>
    <t>BELANJA PEGAWAI</t>
  </si>
  <si>
    <t>BIDANG SUMBER DAYA AIR TAHUN ANGGARAN 2015</t>
  </si>
  <si>
    <t>No.&amp; Tgl BKU</t>
  </si>
  <si>
    <t>No.&amp; Tgl SPM</t>
  </si>
  <si>
    <t xml:space="preserve"> -</t>
  </si>
  <si>
    <t xml:space="preserve">  -</t>
  </si>
  <si>
    <t>Uraian</t>
  </si>
  <si>
    <t>Studi Kinerja Daerah Irigasi Tojang Kompleks, Masbagik, Lombok Timur</t>
  </si>
  <si>
    <t>Studi Kinerja Daerah Irigasi Kali Desa Kompleks, Suela, Lombok Timur</t>
  </si>
  <si>
    <t>Studi Kinerja Daerah Irigasi Marenteh - Penrengganis, Sumbawa</t>
  </si>
  <si>
    <t>Studi Kinerja Daerah Irigasi Nangakara, Pekat, Dompu</t>
  </si>
  <si>
    <t>KODE REKENING</t>
  </si>
  <si>
    <t>HONORARIUM PNS</t>
  </si>
  <si>
    <t>HONORARIUM PANITIA PELAKSANA KEGIATAN</t>
  </si>
  <si>
    <t>BELANJA BAHAN PAKAI HABIS</t>
  </si>
  <si>
    <t>BELANJA ATK</t>
  </si>
  <si>
    <t>BELANJA BAHAN PUBLIKASI/DOKUMENTASI</t>
  </si>
  <si>
    <t>BELANJA CETAK DAN PENGGANDAAN</t>
  </si>
  <si>
    <t>BELANJA CETAK</t>
  </si>
  <si>
    <t>BELANJA  PENGGANDAAN</t>
  </si>
  <si>
    <t>BELANJA PENJILIDAN</t>
  </si>
  <si>
    <t>BELANJA PERJALANAN DINAS</t>
  </si>
  <si>
    <t>BELANJA JASA KONSULTANSI</t>
  </si>
  <si>
    <t>BELANJA JASA KONSULTAN PERENCANAAN</t>
  </si>
  <si>
    <t>BELANJA JASA KONSULTAN PENGAWASAN</t>
  </si>
  <si>
    <t>Studi Kinerja Daerah Irigasi Daha I dan Daha II, Hu'u, Dompu</t>
  </si>
  <si>
    <t>Studi Kinerja Daerah Irigasi Ncangakae-Ncoha, Bolo, Bima</t>
  </si>
  <si>
    <t>Studi Kinerja Daerah Irigasi DI Bisok Bokah</t>
  </si>
  <si>
    <t>Kopang</t>
  </si>
  <si>
    <t>Studi Kinerja Daerah Irigasi DI Sambelia</t>
  </si>
  <si>
    <t>Sambelia</t>
  </si>
  <si>
    <t>Taliwang</t>
  </si>
  <si>
    <t>Studi Kinerja Daerah Irigasi DI Latonda Pekat</t>
  </si>
  <si>
    <t>Pekat</t>
  </si>
  <si>
    <t>Studi Kinerja Daerah Irigasi DI Kadindi</t>
  </si>
  <si>
    <t>Studi Kinerja Daerah Irigasi DI Kalimantong II</t>
  </si>
  <si>
    <t>DATA REKAP KINERJA JARINGAN IRIGASI KEWENANGAN PROVINSI</t>
  </si>
  <si>
    <t>KEGIATAN</t>
  </si>
  <si>
    <t>PRODUKTIVITAS</t>
  </si>
  <si>
    <t>DOKUMENTASI</t>
  </si>
  <si>
    <t>INDEKS (%) BERDASARKAN KAJIAN</t>
  </si>
  <si>
    <t>KELEMBAGAAN GP3A/P3A</t>
  </si>
  <si>
    <t>ORGANISASI PERSONALIA</t>
  </si>
  <si>
    <t>SARANA PENUNJANG</t>
  </si>
  <si>
    <t>PRASARANA FISIK</t>
  </si>
  <si>
    <t>ACUAN</t>
  </si>
  <si>
    <t>EXIST</t>
  </si>
  <si>
    <t>DAERAH IRIGASI KEWENANGAN PROVINSI</t>
  </si>
  <si>
    <t>KETERANGAN</t>
  </si>
  <si>
    <t>Catatan :</t>
  </si>
  <si>
    <t>Dinas Pekerjaan Umum dan Penataan Ruang Prov. NTB</t>
  </si>
  <si>
    <t>Daha I &amp; II</t>
  </si>
  <si>
    <t>Kalimantong II</t>
  </si>
  <si>
    <t>Ketangga</t>
  </si>
  <si>
    <t>alam</t>
  </si>
  <si>
    <t>m</t>
  </si>
  <si>
    <t>BBT-4 Ki s/d BD-4Ka</t>
  </si>
  <si>
    <t>Pringgabaya</t>
  </si>
  <si>
    <t>BS-2 Ka 6</t>
  </si>
  <si>
    <t>Selaparang</t>
  </si>
  <si>
    <t xml:space="preserve">BBT-2 Ka s/d </t>
  </si>
  <si>
    <t>Batuyang</t>
  </si>
  <si>
    <t>BBT-2 s/d BS-4 Ka</t>
  </si>
  <si>
    <t>Senang</t>
  </si>
  <si>
    <t>Bande</t>
  </si>
  <si>
    <t>RB</t>
  </si>
  <si>
    <t>ST-5 Ka s/d BST-3</t>
  </si>
  <si>
    <t>ST-1 Ki s/d Terjunn</t>
  </si>
  <si>
    <t>Suntalangu</t>
  </si>
  <si>
    <t xml:space="preserve">Suntalangu </t>
  </si>
  <si>
    <t>WK-9 s/d WK-12</t>
  </si>
  <si>
    <t>Suela</t>
  </si>
  <si>
    <t>Waduk Kembar</t>
  </si>
  <si>
    <t>Sal. Suplesi WK sampai BL-10</t>
  </si>
  <si>
    <t>suela</t>
  </si>
  <si>
    <t>Lemor</t>
  </si>
  <si>
    <t>Alat ukur</t>
  </si>
  <si>
    <t>Pemasangan peilscall, nomen klatur, pengecatan pintu, dll</t>
  </si>
  <si>
    <t>Papan OP</t>
  </si>
  <si>
    <t>Pasangan batu kali untuk bangunan bagi-sadap</t>
  </si>
  <si>
    <t>RR/RS</t>
  </si>
  <si>
    <t>bh</t>
  </si>
  <si>
    <t>Rehabilitasi Bgn</t>
  </si>
  <si>
    <t>Bongkar-pasang (rehab)</t>
  </si>
  <si>
    <t>Rehabilitasi JI</t>
  </si>
  <si>
    <t>Pasangan batu kali (sal. Alam)</t>
  </si>
  <si>
    <t>RB/alam</t>
  </si>
  <si>
    <t>Peningkatan Bgn</t>
  </si>
  <si>
    <t>Galian sedimentasi</t>
  </si>
  <si>
    <t>Peningkatan JI</t>
  </si>
  <si>
    <t>Kali Desa Komplek</t>
  </si>
  <si>
    <t>Sikur</t>
  </si>
  <si>
    <t>S. Maronggik</t>
  </si>
  <si>
    <t>Maronggik</t>
  </si>
  <si>
    <t>Labuhan</t>
  </si>
  <si>
    <t>Teros</t>
  </si>
  <si>
    <t>Selong</t>
  </si>
  <si>
    <t>Pancor</t>
  </si>
  <si>
    <t>Sukamulia</t>
  </si>
  <si>
    <t>Stanggor</t>
  </si>
  <si>
    <t>Masbagik</t>
  </si>
  <si>
    <t>L. Nangka</t>
  </si>
  <si>
    <t>S. Tojang</t>
  </si>
  <si>
    <t>Tojang</t>
  </si>
  <si>
    <t>Gde Bongoh</t>
  </si>
  <si>
    <t>Satuan</t>
  </si>
  <si>
    <t>Kuantitas</t>
  </si>
  <si>
    <t>Kond.</t>
  </si>
  <si>
    <t>Panjang</t>
  </si>
  <si>
    <t>( Rp )</t>
  </si>
  <si>
    <t>Kabupaten</t>
  </si>
  <si>
    <t>Kecamatan</t>
  </si>
  <si>
    <t>Desa</t>
  </si>
  <si>
    <t>Air</t>
  </si>
  <si>
    <t>( ha )</t>
  </si>
  <si>
    <t>Volume</t>
  </si>
  <si>
    <t>Jenis Kegiatan</t>
  </si>
  <si>
    <t>Permasalahan Lapangan</t>
  </si>
  <si>
    <t>RAB</t>
  </si>
  <si>
    <t>Lokasi</t>
  </si>
  <si>
    <t>Sumber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</si>
  <si>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 xml:space="preserve">areal </t>
    </r>
  </si>
  <si>
    <t>Daerah Irigasi</t>
  </si>
  <si>
    <t>PROVINSI NUSA TENGGARA BARAT</t>
  </si>
  <si>
    <t>BIDANG SUMBER DAYA AIR DINAS PEKERJAAN UMUM DAN PENATAAN RUANG</t>
  </si>
  <si>
    <t>DATA KERUSAKAN FISIK JARINGAN IRIGASI</t>
  </si>
  <si>
    <t>Sesaot</t>
  </si>
  <si>
    <t>Gebong</t>
  </si>
  <si>
    <t>Tanak Beak</t>
  </si>
  <si>
    <t>Narmada</t>
  </si>
  <si>
    <t>Tratak</t>
  </si>
  <si>
    <t>Batukliang U.</t>
  </si>
  <si>
    <t>Pungkit</t>
  </si>
  <si>
    <t>Lopok</t>
  </si>
  <si>
    <t>Tatede</t>
  </si>
  <si>
    <t>Lopok Beru</t>
  </si>
  <si>
    <t>Berora</t>
  </si>
  <si>
    <t>Langam</t>
  </si>
  <si>
    <t>Tiu Reban</t>
  </si>
  <si>
    <t>DAS Pungkit</t>
  </si>
  <si>
    <t>Embung Gapit</t>
  </si>
  <si>
    <t>Brang Gapit</t>
  </si>
  <si>
    <t>DAS Boal</t>
  </si>
  <si>
    <t>Empang</t>
  </si>
  <si>
    <t>Empang Atas</t>
  </si>
  <si>
    <t>Empang Bawa</t>
  </si>
  <si>
    <t>Gapit, Boal</t>
  </si>
  <si>
    <t>Jotang, ongko</t>
  </si>
  <si>
    <t>Lamenta, dll.</t>
  </si>
  <si>
    <t>baru</t>
  </si>
  <si>
    <t>S. Semareng</t>
  </si>
  <si>
    <t>DAS Sambelia</t>
  </si>
  <si>
    <t>Senanggalih</t>
  </si>
  <si>
    <t>Bagek Manis</t>
  </si>
  <si>
    <t>Dadap</t>
  </si>
  <si>
    <t>Labuan Pandan</t>
  </si>
  <si>
    <t>Bisok Bokah</t>
  </si>
  <si>
    <t>Kopang Rembiga</t>
  </si>
  <si>
    <t>Bebuak</t>
  </si>
  <si>
    <t>M. Gamang</t>
  </si>
  <si>
    <t>Lendang Ara</t>
  </si>
  <si>
    <t>S. Renggung</t>
  </si>
  <si>
    <t>DAS Renggung</t>
  </si>
  <si>
    <t>- Perempung</t>
  </si>
  <si>
    <r>
      <t>5,15 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</si>
  <si>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sungai</t>
    </r>
    <r>
      <rPr>
        <sz val="11"/>
        <color theme="1"/>
        <rFont val="Calibri"/>
        <family val="2"/>
        <scheme val="minor"/>
      </rPr>
      <t xml:space="preserve"> = 6,13 km</t>
    </r>
  </si>
  <si>
    <t>Brang Rea</t>
  </si>
  <si>
    <t>Kuang</t>
  </si>
  <si>
    <t>Tepas</t>
  </si>
  <si>
    <t>DAS Rea</t>
  </si>
  <si>
    <t>Sumbawa Barat</t>
  </si>
  <si>
    <r>
      <t>A</t>
    </r>
    <r>
      <rPr>
        <vertAlign val="subscript"/>
        <sz val="11"/>
        <color rgb="FF000000"/>
        <rFont val="Calibri"/>
        <family val="2"/>
        <scheme val="minor"/>
      </rPr>
      <t>DAS</t>
    </r>
    <r>
      <rPr>
        <sz val="11"/>
        <color rgb="FF000000"/>
        <rFont val="Calibri"/>
        <family val="2"/>
        <scheme val="minor"/>
      </rPr>
      <t xml:space="preserve"> = 331,8 km</t>
    </r>
    <r>
      <rPr>
        <vertAlign val="superscript"/>
        <sz val="11"/>
        <color rgb="FF000000"/>
        <rFont val="Calibri"/>
        <family val="2"/>
        <scheme val="minor"/>
      </rPr>
      <t>2</t>
    </r>
  </si>
  <si>
    <t>Nangakara Komplek</t>
  </si>
  <si>
    <t>Latonda Pekat</t>
  </si>
  <si>
    <t>Kadindi</t>
  </si>
  <si>
    <t>Plampo'o Kompleks</t>
  </si>
  <si>
    <t>Tahun Anggaran 2017</t>
  </si>
  <si>
    <t>Sungai Sesaot</t>
  </si>
  <si>
    <t>Batu Kumbung</t>
  </si>
  <si>
    <t>Selat</t>
  </si>
  <si>
    <t>Lingsar</t>
  </si>
  <si>
    <t>Pemangket</t>
  </si>
  <si>
    <t>MA. Ranget</t>
  </si>
  <si>
    <t>Bdg. Bt. Kantar</t>
  </si>
  <si>
    <t>MA. Aik Montong</t>
  </si>
  <si>
    <t>MA. Lemor</t>
  </si>
  <si>
    <t>MA. E. Kembar</t>
  </si>
  <si>
    <t>Alas</t>
  </si>
  <si>
    <t>Jurang Alas</t>
  </si>
  <si>
    <t>Marente</t>
  </si>
  <si>
    <t>Dalam</t>
  </si>
  <si>
    <t>Marente Komplek</t>
  </si>
  <si>
    <t>Brang Ode</t>
  </si>
  <si>
    <t>Kalimango</t>
  </si>
  <si>
    <t>Orong Atas</t>
  </si>
  <si>
    <t>Orong Bawah</t>
  </si>
  <si>
    <t>Gontar</t>
  </si>
  <si>
    <t>Hu'u</t>
  </si>
  <si>
    <t>Hu'u, Daha, Adu,</t>
  </si>
  <si>
    <t>Rasabou, Sawe,</t>
  </si>
  <si>
    <t>Cempi Jaya, Jala</t>
  </si>
  <si>
    <t>dan Marada</t>
  </si>
  <si>
    <t>Sori Madawa</t>
  </si>
  <si>
    <t>Sori Pekat</t>
  </si>
  <si>
    <t>Pekat dan</t>
  </si>
  <si>
    <t>Calabai</t>
  </si>
  <si>
    <t>Ncangakai-Ncoha</t>
  </si>
  <si>
    <t>Tambora</t>
  </si>
  <si>
    <t>Nangamiro</t>
  </si>
  <si>
    <t>Karombo</t>
  </si>
  <si>
    <t>Kadindi Barat</t>
  </si>
  <si>
    <t>Sori Nangamiro</t>
  </si>
  <si>
    <r>
      <t>2,23 km</t>
    </r>
    <r>
      <rPr>
        <vertAlign val="superscript"/>
        <sz val="11"/>
        <color theme="1"/>
        <rFont val="Calibri"/>
        <family val="2"/>
        <scheme val="minor"/>
      </rPr>
      <t>2</t>
    </r>
  </si>
  <si>
    <t>Nangakara</t>
  </si>
  <si>
    <t>Beringin Jaya</t>
  </si>
  <si>
    <t>Sorinomo</t>
  </si>
  <si>
    <t>Doropeti</t>
  </si>
  <si>
    <t>Baru</t>
  </si>
  <si>
    <t>Bdg. Sori Nangka</t>
  </si>
  <si>
    <t>Bdg. Sori Nomo</t>
  </si>
  <si>
    <t>Bdg. Nangakara</t>
  </si>
  <si>
    <t>Sekongkang</t>
  </si>
  <si>
    <t>Brang Sekongkang</t>
  </si>
  <si>
    <t>Brang Labuan</t>
  </si>
  <si>
    <t>Aik Kangkung</t>
  </si>
  <si>
    <t>Tongo</t>
  </si>
  <si>
    <t>Brang Sejorong</t>
  </si>
  <si>
    <t>Embung Puja</t>
  </si>
  <si>
    <t>Brang Tabiung</t>
  </si>
  <si>
    <t>Tatar</t>
  </si>
  <si>
    <t>Bolo</t>
  </si>
  <si>
    <t>Rato</t>
  </si>
  <si>
    <t>REKAPITULASI KERUSAKAN JARINGAN DAN BANGUNAN IRIGASI</t>
  </si>
  <si>
    <t>URAIAN KEGIATAN</t>
  </si>
  <si>
    <t>PENINGKATAN JARINGAN DAN BANGUNAN IRIGASI</t>
  </si>
  <si>
    <t>PANJANG SALURAN</t>
  </si>
  <si>
    <t>REHABILITASI JARINGAN DAN BANGUNAN IRIGASI</t>
  </si>
  <si>
    <t>M</t>
  </si>
  <si>
    <t>BH</t>
  </si>
  <si>
    <t>TOTAL KEBUTUHAN DANA</t>
  </si>
  <si>
    <r>
      <rPr>
        <b/>
        <sz val="11"/>
        <color theme="1"/>
        <rFont val="Symbol"/>
        <family val="1"/>
        <charset val="2"/>
      </rPr>
      <t>S</t>
    </r>
    <r>
      <rPr>
        <b/>
        <sz val="11.65"/>
        <color theme="1"/>
        <rFont val="Calibri"/>
        <family val="2"/>
      </rPr>
      <t xml:space="preserve"> BANGUNAN</t>
    </r>
  </si>
  <si>
    <t>TOTAL</t>
  </si>
  <si>
    <t>Mataram, … Maret 2017</t>
  </si>
  <si>
    <r>
      <t>(</t>
    </r>
    <r>
      <rPr>
        <u/>
        <sz val="11"/>
        <color theme="1"/>
        <rFont val="Calibri"/>
        <family val="2"/>
        <scheme val="minor"/>
      </rPr>
      <t xml:space="preserve"> H. Ahlul Wakti, ST., MT.</t>
    </r>
    <r>
      <rPr>
        <sz val="11"/>
        <color theme="1"/>
        <rFont val="Calibri"/>
        <family val="2"/>
        <scheme val="minor"/>
      </rPr>
      <t>)</t>
    </r>
  </si>
  <si>
    <t>REKAP KINERJA (%)</t>
  </si>
  <si>
    <t>Mataram, … April 2017</t>
  </si>
  <si>
    <t>Studi Kinerja Daerah Irigasi DI Bagek Kembar</t>
  </si>
  <si>
    <t>Studi Kinerja Daerah Irigasi DI Renggung</t>
  </si>
  <si>
    <t>Gangga, KLU</t>
  </si>
  <si>
    <t>Kopang, Loteng</t>
  </si>
  <si>
    <t>Daerah Irigasi yang belum dilaksanakan sebanyak 15 DI kewenangan provinsi (1000 ha - 3000 ha)</t>
  </si>
  <si>
    <t>BIDANG SUMBER DAYA AIR TA. 2015 - 2017</t>
  </si>
  <si>
    <t xml:space="preserve"> H. Ahlul Wakti, ST., MT.</t>
  </si>
  <si>
    <t>Sambelia, Lotim</t>
  </si>
  <si>
    <t xml:space="preserve"> Rata rata Kinerja DI</t>
  </si>
  <si>
    <t>Mataram,          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</si>
</sst>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[Red]\(&quot;Rp&quot;#,##0\)"/>
    <numFmt numFmtId="165" formatCode="_(&quot;Rp&quot;* #,##0_);_(&quot;Rp&quot;* \(#,##0\);_(&quot;Rp&quot;* &quot;-&quot;_);_(@_)"/>
    <numFmt numFmtId="166" formatCode="_(* #,##0.00_);_(* \(#,##0.00\);_(* &quot;-&quot;_);_(@_)"/>
    <numFmt numFmtId="167" formatCode="_(* #,##0_);_(* \(#,##0\);_(* &quot;-&quot;??_);_(@_)"/>
    <numFmt numFmtId="168" formatCode="_(* #,##0.0_);_(* \(#,##0.0\);_(* &quot;-&quot;??_);_(@_)"/>
    <numFmt numFmtId="169" formatCode="_(* #,##0.000_);_(* \(#,##0.000\);_(* &quot;-&quot;_);_(@_)"/>
  </numFmts>
  <fonts count="78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9"/>
      <name val="Arial"/>
      <family val="2"/>
    </font>
    <font>
      <b/>
      <sz val="9"/>
      <name val="Tahoma"/>
      <family val="2"/>
    </font>
    <font>
      <sz val="9"/>
      <name val="Arial"/>
      <family val="2"/>
    </font>
    <font>
      <b/>
      <sz val="16"/>
      <name val="Tahoma"/>
      <family val="2"/>
    </font>
    <font>
      <b/>
      <sz val="20"/>
      <name val="Times New Roman"/>
      <family val="1"/>
    </font>
    <font>
      <sz val="10"/>
      <color indexed="8"/>
      <name val="Arial"/>
      <family val="2"/>
    </font>
    <font>
      <b/>
      <sz val="11"/>
      <name val="Tahoma"/>
      <family val="2"/>
    </font>
    <font>
      <b/>
      <sz val="11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8"/>
      <name val="Arial"/>
      <family val="2"/>
    </font>
    <font>
      <u val="singleAccounting"/>
      <sz val="10"/>
      <name val="Arial"/>
      <family val="2"/>
    </font>
    <font>
      <b/>
      <sz val="14"/>
      <name val="Times New Roman"/>
      <family val="1"/>
    </font>
    <font>
      <sz val="8"/>
      <color indexed="8"/>
      <name val="Arial"/>
      <family val="2"/>
    </font>
    <font>
      <b/>
      <sz val="12"/>
      <name val="Times New Roman"/>
      <family val="1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0"/>
      <name val="Arial Narrow"/>
      <family val="2"/>
    </font>
    <font>
      <i/>
      <u/>
      <sz val="10"/>
      <name val="Arial"/>
      <family val="2"/>
    </font>
    <font>
      <sz val="10"/>
      <color theme="0"/>
      <name val="Arial Narrow"/>
      <family val="2"/>
    </font>
    <font>
      <b/>
      <sz val="14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11"/>
      <name val="Tahoma"/>
      <family val="2"/>
    </font>
    <font>
      <u val="singleAccounting"/>
      <sz val="11"/>
      <name val="Arial"/>
      <family val="2"/>
    </font>
    <font>
      <b/>
      <sz val="11"/>
      <name val="Times New Roman"/>
      <family val="1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 Narrow"/>
      <family val="2"/>
    </font>
    <font>
      <b/>
      <u/>
      <sz val="10"/>
      <name val="Arial Narrow"/>
      <family val="2"/>
    </font>
    <font>
      <sz val="11"/>
      <color theme="1"/>
      <name val="Calibri"/>
      <family val="2"/>
      <charset val="1"/>
      <scheme val="minor"/>
    </font>
    <font>
      <b/>
      <u/>
      <sz val="10"/>
      <color theme="1"/>
      <name val="Arial Narrow"/>
      <family val="2"/>
    </font>
    <font>
      <u/>
      <sz val="10"/>
      <color theme="1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b/>
      <sz val="11.65"/>
      <color theme="1"/>
      <name val="Calibri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auto="1"/>
      </bottom>
      <diagonal/>
    </border>
  </borders>
  <cellStyleXfs count="10">
    <xf numFmtId="0" fontId="0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3" fontId="46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0" fontId="53" fillId="0" borderId="0"/>
    <xf numFmtId="0" fontId="7" fillId="0" borderId="0"/>
    <xf numFmtId="43" fontId="7" fillId="0" borderId="0" applyFont="0" applyFill="0" applyBorder="0" applyAlignment="0" applyProtection="0"/>
  </cellStyleXfs>
  <cellXfs count="1141">
    <xf numFmtId="0" fontId="0" fillId="0" borderId="0" xfId="0"/>
    <xf numFmtId="0" fontId="12" fillId="0" borderId="0" xfId="3" applyFont="1" applyFill="1" applyBorder="1"/>
    <xf numFmtId="3" fontId="9" fillId="0" borderId="0" xfId="3" applyNumberFormat="1" applyFont="1" applyFill="1" applyBorder="1" applyAlignment="1">
      <alignment horizontal="center" vertical="center"/>
    </xf>
    <xf numFmtId="0" fontId="13" fillId="0" borderId="0" xfId="3" applyFont="1" applyFill="1" applyBorder="1"/>
    <xf numFmtId="3" fontId="10" fillId="0" borderId="0" xfId="3" applyNumberFormat="1" applyFont="1" applyFill="1" applyBorder="1" applyAlignment="1">
      <alignment horizontal="left" vertical="center"/>
    </xf>
    <xf numFmtId="3" fontId="10" fillId="0" borderId="0" xfId="3" quotePrefix="1" applyNumberFormat="1" applyFont="1" applyFill="1" applyBorder="1" applyAlignment="1">
      <alignment horizontal="left" vertical="center"/>
    </xf>
    <xf numFmtId="4" fontId="9" fillId="0" borderId="0" xfId="3" applyNumberFormat="1" applyFont="1" applyFill="1" applyBorder="1" applyAlignment="1">
      <alignment horizontal="center" vertical="center"/>
    </xf>
    <xf numFmtId="4" fontId="12" fillId="0" borderId="0" xfId="3" applyNumberFormat="1" applyFont="1" applyFill="1" applyBorder="1"/>
    <xf numFmtId="3" fontId="10" fillId="0" borderId="0" xfId="3" applyNumberFormat="1" applyFont="1" applyFill="1" applyBorder="1" applyAlignment="1">
      <alignment horizontal="center" vertical="center"/>
    </xf>
    <xf numFmtId="0" fontId="14" fillId="0" borderId="0" xfId="3" applyFont="1" applyFill="1" applyBorder="1"/>
    <xf numFmtId="3" fontId="10" fillId="0" borderId="0" xfId="3" applyNumberFormat="1" applyFont="1" applyFill="1" applyBorder="1" applyAlignment="1">
      <alignment vertical="center"/>
    </xf>
    <xf numFmtId="0" fontId="12" fillId="0" borderId="2" xfId="3" applyFont="1" applyFill="1" applyBorder="1"/>
    <xf numFmtId="0" fontId="12" fillId="0" borderId="4" xfId="3" applyFont="1" applyFill="1" applyBorder="1"/>
    <xf numFmtId="3" fontId="15" fillId="0" borderId="5" xfId="3" quotePrefix="1" applyNumberFormat="1" applyFont="1" applyFill="1" applyBorder="1" applyAlignment="1">
      <alignment horizontal="center" vertical="center"/>
    </xf>
    <xf numFmtId="3" fontId="10" fillId="0" borderId="2" xfId="3" applyNumberFormat="1" applyFont="1" applyFill="1" applyBorder="1" applyAlignment="1">
      <alignment horizontal="left" vertical="center"/>
    </xf>
    <xf numFmtId="3" fontId="10" fillId="0" borderId="2" xfId="3" quotePrefix="1" applyNumberFormat="1" applyFont="1" applyFill="1" applyBorder="1" applyAlignment="1">
      <alignment horizontal="left" vertical="center"/>
    </xf>
    <xf numFmtId="4" fontId="12" fillId="0" borderId="2" xfId="3" applyNumberFormat="1" applyFont="1" applyFill="1" applyBorder="1"/>
    <xf numFmtId="3" fontId="11" fillId="0" borderId="6" xfId="3" applyNumberFormat="1" applyFont="1" applyFill="1" applyBorder="1" applyAlignment="1">
      <alignment horizontal="center"/>
    </xf>
    <xf numFmtId="4" fontId="11" fillId="0" borderId="7" xfId="2" quotePrefix="1" applyNumberFormat="1" applyFont="1" applyFill="1" applyBorder="1" applyAlignment="1">
      <alignment horizontal="center"/>
    </xf>
    <xf numFmtId="0" fontId="16" fillId="0" borderId="12" xfId="3" applyFont="1" applyFill="1" applyBorder="1" applyAlignment="1"/>
    <xf numFmtId="0" fontId="12" fillId="0" borderId="6" xfId="3" applyFont="1" applyFill="1" applyBorder="1" applyAlignment="1">
      <alignment horizontal="center"/>
    </xf>
    <xf numFmtId="0" fontId="12" fillId="0" borderId="13" xfId="3" applyFont="1" applyFill="1" applyBorder="1" applyAlignment="1">
      <alignment horizontal="center"/>
    </xf>
    <xf numFmtId="3" fontId="12" fillId="0" borderId="14" xfId="3" applyNumberFormat="1" applyFont="1" applyFill="1" applyBorder="1" applyAlignment="1">
      <alignment horizontal="center"/>
    </xf>
    <xf numFmtId="4" fontId="12" fillId="0" borderId="15" xfId="3" applyNumberFormat="1" applyFont="1" applyFill="1" applyBorder="1" applyAlignment="1">
      <alignment horizontal="center"/>
    </xf>
    <xf numFmtId="0" fontId="12" fillId="0" borderId="16" xfId="3" applyFont="1" applyFill="1" applyBorder="1" applyAlignment="1">
      <alignment horizontal="center" vertical="center" wrapText="1"/>
    </xf>
    <xf numFmtId="3" fontId="10" fillId="0" borderId="17" xfId="3" quotePrefix="1" applyNumberFormat="1" applyFont="1" applyFill="1" applyBorder="1" applyAlignment="1">
      <alignment horizontal="center" vertical="center"/>
    </xf>
    <xf numFmtId="41" fontId="10" fillId="0" borderId="0" xfId="2" quotePrefix="1" applyFont="1" applyFill="1" applyBorder="1" applyAlignment="1">
      <alignment vertical="center"/>
    </xf>
    <xf numFmtId="3" fontId="10" fillId="0" borderId="2" xfId="3" applyNumberFormat="1" applyFont="1" applyFill="1" applyBorder="1" applyAlignment="1"/>
    <xf numFmtId="167" fontId="10" fillId="2" borderId="18" xfId="1" applyNumberFormat="1" applyFont="1" applyFill="1" applyBorder="1" applyAlignment="1"/>
    <xf numFmtId="0" fontId="12" fillId="0" borderId="15" xfId="3" applyFont="1" applyFill="1" applyBorder="1" applyAlignment="1">
      <alignment horizontal="center"/>
    </xf>
    <xf numFmtId="168" fontId="10" fillId="2" borderId="18" xfId="1" applyNumberFormat="1" applyFont="1" applyFill="1" applyBorder="1" applyAlignment="1"/>
    <xf numFmtId="0" fontId="16" fillId="0" borderId="23" xfId="3" applyFont="1" applyFill="1" applyBorder="1" applyAlignment="1"/>
    <xf numFmtId="0" fontId="10" fillId="0" borderId="24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 vertical="top"/>
    </xf>
    <xf numFmtId="167" fontId="10" fillId="0" borderId="1" xfId="1" applyNumberFormat="1" applyFont="1" applyFill="1" applyBorder="1" applyAlignment="1" applyProtection="1">
      <alignment horizontal="right" vertical="top"/>
    </xf>
    <xf numFmtId="0" fontId="10" fillId="0" borderId="1" xfId="0" quotePrefix="1" applyNumberFormat="1" applyFont="1" applyFill="1" applyBorder="1" applyAlignment="1" applyProtection="1">
      <alignment horizontal="center" vertical="top"/>
    </xf>
    <xf numFmtId="0" fontId="10" fillId="0" borderId="18" xfId="0" applyNumberFormat="1" applyFont="1" applyFill="1" applyBorder="1" applyAlignment="1" applyProtection="1">
      <alignment horizontal="center" vertical="top"/>
    </xf>
    <xf numFmtId="43" fontId="12" fillId="0" borderId="0" xfId="1" applyFont="1" applyFill="1" applyBorder="1"/>
    <xf numFmtId="43" fontId="12" fillId="0" borderId="2" xfId="1" applyFont="1" applyFill="1" applyBorder="1"/>
    <xf numFmtId="43" fontId="12" fillId="0" borderId="15" xfId="1" applyFont="1" applyFill="1" applyBorder="1" applyAlignment="1">
      <alignment horizontal="center"/>
    </xf>
    <xf numFmtId="0" fontId="18" fillId="2" borderId="12" xfId="3" applyFont="1" applyFill="1" applyBorder="1" applyAlignment="1"/>
    <xf numFmtId="0" fontId="13" fillId="0" borderId="4" xfId="3" applyFont="1" applyFill="1" applyBorder="1" applyAlignment="1"/>
    <xf numFmtId="0" fontId="11" fillId="0" borderId="12" xfId="3" applyFont="1" applyFill="1" applyBorder="1" applyAlignment="1"/>
    <xf numFmtId="0" fontId="11" fillId="0" borderId="23" xfId="3" applyFont="1" applyFill="1" applyBorder="1" applyAlignment="1"/>
    <xf numFmtId="0" fontId="10" fillId="0" borderId="18" xfId="0" applyNumberFormat="1" applyFont="1" applyFill="1" applyBorder="1" applyAlignment="1" applyProtection="1">
      <alignment vertical="top"/>
    </xf>
    <xf numFmtId="0" fontId="10" fillId="0" borderId="12" xfId="0" applyNumberFormat="1" applyFont="1" applyFill="1" applyBorder="1" applyAlignment="1" applyProtection="1">
      <alignment vertical="top"/>
    </xf>
    <xf numFmtId="0" fontId="10" fillId="0" borderId="23" xfId="0" applyNumberFormat="1" applyFont="1" applyFill="1" applyBorder="1" applyAlignment="1" applyProtection="1">
      <alignment vertical="top"/>
    </xf>
    <xf numFmtId="0" fontId="10" fillId="0" borderId="26" xfId="0" applyNumberFormat="1" applyFont="1" applyFill="1" applyBorder="1" applyAlignment="1" applyProtection="1">
      <alignment vertical="top"/>
    </xf>
    <xf numFmtId="0" fontId="14" fillId="0" borderId="12" xfId="3" applyFont="1" applyFill="1" applyBorder="1" applyAlignment="1"/>
    <xf numFmtId="0" fontId="14" fillId="0" borderId="23" xfId="3" applyFont="1" applyFill="1" applyBorder="1" applyAlignment="1"/>
    <xf numFmtId="0" fontId="10" fillId="0" borderId="12" xfId="3" applyFont="1" applyFill="1" applyBorder="1" applyAlignment="1"/>
    <xf numFmtId="0" fontId="10" fillId="0" borderId="23" xfId="3" applyFont="1" applyFill="1" applyBorder="1" applyAlignment="1"/>
    <xf numFmtId="0" fontId="20" fillId="0" borderId="0" xfId="0" applyFont="1" applyBorder="1"/>
    <xf numFmtId="0" fontId="20" fillId="0" borderId="18" xfId="0" applyFont="1" applyBorder="1"/>
    <xf numFmtId="0" fontId="20" fillId="0" borderId="12" xfId="0" applyFont="1" applyBorder="1"/>
    <xf numFmtId="0" fontId="20" fillId="0" borderId="25" xfId="0" applyFont="1" applyBorder="1"/>
    <xf numFmtId="0" fontId="22" fillId="0" borderId="12" xfId="0" applyFont="1" applyBorder="1"/>
    <xf numFmtId="0" fontId="23" fillId="0" borderId="18" xfId="0" applyFont="1" applyBorder="1"/>
    <xf numFmtId="0" fontId="23" fillId="0" borderId="12" xfId="0" applyFont="1" applyBorder="1"/>
    <xf numFmtId="0" fontId="24" fillId="0" borderId="12" xfId="0" applyFont="1" applyBorder="1"/>
    <xf numFmtId="0" fontId="25" fillId="0" borderId="12" xfId="0" applyFont="1" applyBorder="1"/>
    <xf numFmtId="167" fontId="10" fillId="3" borderId="18" xfId="1" applyNumberFormat="1" applyFont="1" applyFill="1" applyBorder="1" applyAlignment="1"/>
    <xf numFmtId="0" fontId="16" fillId="0" borderId="30" xfId="3" applyFont="1" applyFill="1" applyBorder="1" applyAlignment="1"/>
    <xf numFmtId="166" fontId="15" fillId="3" borderId="18" xfId="2" applyNumberFormat="1" applyFont="1" applyFill="1" applyBorder="1" applyAlignment="1">
      <alignment horizontal="right"/>
    </xf>
    <xf numFmtId="0" fontId="15" fillId="0" borderId="1" xfId="0" quotePrefix="1" applyFont="1" applyFill="1" applyBorder="1" applyAlignment="1">
      <alignment horizontal="center"/>
    </xf>
    <xf numFmtId="0" fontId="17" fillId="0" borderId="1" xfId="0" quotePrefix="1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2" fillId="0" borderId="12" xfId="3" applyFont="1" applyFill="1" applyBorder="1" applyAlignment="1"/>
    <xf numFmtId="167" fontId="10" fillId="0" borderId="1" xfId="1" applyNumberFormat="1" applyFont="1" applyFill="1" applyBorder="1"/>
    <xf numFmtId="0" fontId="26" fillId="0" borderId="12" xfId="0" applyNumberFormat="1" applyFont="1" applyFill="1" applyBorder="1" applyAlignment="1" applyProtection="1">
      <alignment horizontal="left" vertical="top"/>
    </xf>
    <xf numFmtId="3" fontId="23" fillId="0" borderId="1" xfId="1" applyNumberFormat="1" applyFont="1" applyBorder="1"/>
    <xf numFmtId="3" fontId="20" fillId="0" borderId="1" xfId="1" applyNumberFormat="1" applyFont="1" applyBorder="1"/>
    <xf numFmtId="0" fontId="0" fillId="0" borderId="0" xfId="0" applyBorder="1"/>
    <xf numFmtId="0" fontId="8" fillId="0" borderId="18" xfId="0" applyNumberFormat="1" applyFont="1" applyFill="1" applyBorder="1" applyAlignment="1" applyProtection="1">
      <alignment vertical="top"/>
    </xf>
    <xf numFmtId="167" fontId="8" fillId="0" borderId="1" xfId="1" applyNumberFormat="1" applyFont="1" applyFill="1" applyBorder="1" applyAlignment="1" applyProtection="1">
      <alignment horizontal="right" vertical="top"/>
    </xf>
    <xf numFmtId="0" fontId="8" fillId="0" borderId="12" xfId="0" applyNumberFormat="1" applyFont="1" applyFill="1" applyBorder="1" applyAlignment="1" applyProtection="1">
      <alignment vertical="top"/>
    </xf>
    <xf numFmtId="167" fontId="8" fillId="0" borderId="0" xfId="1" applyNumberFormat="1" applyFont="1" applyBorder="1"/>
    <xf numFmtId="43" fontId="8" fillId="0" borderId="0" xfId="1" applyFont="1" applyFill="1" applyBorder="1" applyAlignment="1">
      <alignment vertical="center"/>
    </xf>
    <xf numFmtId="3" fontId="8" fillId="0" borderId="2" xfId="3" applyNumberFormat="1" applyFont="1" applyFill="1" applyBorder="1" applyAlignment="1">
      <alignment vertical="center"/>
    </xf>
    <xf numFmtId="3" fontId="8" fillId="0" borderId="2" xfId="3" applyNumberFormat="1" applyFont="1" applyFill="1" applyBorder="1" applyAlignment="1">
      <alignment horizontal="center" vertical="center"/>
    </xf>
    <xf numFmtId="0" fontId="8" fillId="0" borderId="12" xfId="0" applyFont="1" applyFill="1" applyBorder="1"/>
    <xf numFmtId="167" fontId="8" fillId="0" borderId="1" xfId="1" applyNumberFormat="1" applyFont="1" applyFill="1" applyBorder="1"/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24" xfId="0" applyNumberFormat="1" applyFont="1" applyFill="1" applyBorder="1" applyAlignment="1" applyProtection="1">
      <alignment horizontal="center" vertical="top"/>
    </xf>
    <xf numFmtId="0" fontId="8" fillId="0" borderId="1" xfId="0" quotePrefix="1" applyNumberFormat="1" applyFont="1" applyFill="1" applyBorder="1" applyAlignment="1" applyProtection="1">
      <alignment horizontal="center" vertical="top"/>
    </xf>
    <xf numFmtId="0" fontId="8" fillId="0" borderId="26" xfId="0" applyNumberFormat="1" applyFont="1" applyFill="1" applyBorder="1" applyAlignment="1" applyProtection="1">
      <alignment vertical="top"/>
    </xf>
    <xf numFmtId="0" fontId="8" fillId="0" borderId="23" xfId="0" applyNumberFormat="1" applyFont="1" applyFill="1" applyBorder="1" applyAlignment="1" applyProtection="1">
      <alignment vertical="top"/>
    </xf>
    <xf numFmtId="0" fontId="8" fillId="0" borderId="18" xfId="0" applyNumberFormat="1" applyFont="1" applyFill="1" applyBorder="1" applyAlignment="1" applyProtection="1">
      <alignment horizontal="center" vertical="top"/>
    </xf>
    <xf numFmtId="0" fontId="8" fillId="0" borderId="25" xfId="0" applyNumberFormat="1" applyFont="1" applyFill="1" applyBorder="1" applyAlignment="1" applyProtection="1">
      <alignment vertical="top"/>
    </xf>
    <xf numFmtId="0" fontId="8" fillId="0" borderId="13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23" fillId="0" borderId="18" xfId="0" quotePrefix="1" applyFont="1" applyBorder="1" applyAlignment="1">
      <alignment horizontal="center"/>
    </xf>
    <xf numFmtId="0" fontId="20" fillId="0" borderId="18" xfId="0" quotePrefix="1" applyFont="1" applyBorder="1" applyAlignment="1">
      <alignment horizontal="center"/>
    </xf>
    <xf numFmtId="0" fontId="23" fillId="0" borderId="33" xfId="0" applyFont="1" applyBorder="1"/>
    <xf numFmtId="0" fontId="20" fillId="0" borderId="26" xfId="0" applyFont="1" applyBorder="1"/>
    <xf numFmtId="0" fontId="20" fillId="0" borderId="18" xfId="0" applyFont="1" applyBorder="1" applyAlignment="1">
      <alignment horizontal="center"/>
    </xf>
    <xf numFmtId="0" fontId="20" fillId="0" borderId="18" xfId="0" quotePrefix="1" applyFont="1" applyBorder="1"/>
    <xf numFmtId="0" fontId="23" fillId="0" borderId="13" xfId="0" applyFont="1" applyBorder="1"/>
    <xf numFmtId="0" fontId="23" fillId="0" borderId="0" xfId="0" applyFont="1" applyBorder="1"/>
    <xf numFmtId="0" fontId="8" fillId="0" borderId="34" xfId="0" applyNumberFormat="1" applyFont="1" applyFill="1" applyBorder="1" applyAlignment="1" applyProtection="1">
      <alignment horizontal="center" vertical="top"/>
    </xf>
    <xf numFmtId="0" fontId="8" fillId="0" borderId="35" xfId="0" applyNumberFormat="1" applyFont="1" applyFill="1" applyBorder="1" applyAlignment="1" applyProtection="1">
      <alignment horizontal="center" vertical="top"/>
    </xf>
    <xf numFmtId="0" fontId="8" fillId="0" borderId="0" xfId="0" applyFont="1" applyBorder="1"/>
    <xf numFmtId="0" fontId="10" fillId="0" borderId="0" xfId="3" applyFont="1" applyFill="1" applyBorder="1" applyAlignment="1"/>
    <xf numFmtId="167" fontId="10" fillId="4" borderId="1" xfId="1" applyNumberFormat="1" applyFont="1" applyFill="1" applyBorder="1" applyAlignment="1" applyProtection="1">
      <alignment horizontal="right" vertical="top"/>
    </xf>
    <xf numFmtId="0" fontId="10" fillId="0" borderId="20" xfId="0" applyNumberFormat="1" applyFont="1" applyFill="1" applyBorder="1" applyAlignment="1" applyProtection="1">
      <alignment vertical="top"/>
    </xf>
    <xf numFmtId="0" fontId="20" fillId="0" borderId="18" xfId="0" applyFont="1" applyBorder="1" applyAlignment="1"/>
    <xf numFmtId="0" fontId="20" fillId="0" borderId="12" xfId="0" applyFont="1" applyBorder="1" applyAlignment="1"/>
    <xf numFmtId="0" fontId="20" fillId="0" borderId="23" xfId="0" applyFont="1" applyBorder="1" applyAlignment="1"/>
    <xf numFmtId="0" fontId="20" fillId="0" borderId="13" xfId="0" applyFont="1" applyBorder="1"/>
    <xf numFmtId="0" fontId="0" fillId="4" borderId="0" xfId="0" applyFill="1"/>
    <xf numFmtId="0" fontId="0" fillId="0" borderId="0" xfId="0" applyFill="1"/>
    <xf numFmtId="3" fontId="20" fillId="0" borderId="1" xfId="1" applyNumberFormat="1" applyFont="1" applyFill="1" applyBorder="1"/>
    <xf numFmtId="3" fontId="23" fillId="4" borderId="1" xfId="1" applyNumberFormat="1" applyFont="1" applyFill="1" applyBorder="1"/>
    <xf numFmtId="41" fontId="20" fillId="0" borderId="1" xfId="2" applyFont="1" applyBorder="1"/>
    <xf numFmtId="167" fontId="12" fillId="0" borderId="0" xfId="3" applyNumberFormat="1" applyFont="1" applyFill="1" applyBorder="1"/>
    <xf numFmtId="0" fontId="28" fillId="0" borderId="18" xfId="0" applyFont="1" applyBorder="1"/>
    <xf numFmtId="41" fontId="29" fillId="0" borderId="1" xfId="2" applyFont="1" applyBorder="1"/>
    <xf numFmtId="41" fontId="28" fillId="0" borderId="1" xfId="2" applyFont="1" applyBorder="1"/>
    <xf numFmtId="0" fontId="13" fillId="0" borderId="0" xfId="3" applyFont="1" applyFill="1" applyBorder="1" applyAlignment="1"/>
    <xf numFmtId="0" fontId="12" fillId="0" borderId="14" xfId="3" applyFont="1" applyFill="1" applyBorder="1" applyAlignment="1">
      <alignment horizontal="center"/>
    </xf>
    <xf numFmtId="0" fontId="13" fillId="0" borderId="15" xfId="3" applyFont="1" applyFill="1" applyBorder="1" applyAlignment="1">
      <alignment horizontal="center"/>
    </xf>
    <xf numFmtId="0" fontId="12" fillId="0" borderId="22" xfId="3" applyFont="1" applyFill="1" applyBorder="1" applyAlignment="1">
      <alignment horizontal="center" vertical="center" wrapText="1"/>
    </xf>
    <xf numFmtId="0" fontId="8" fillId="0" borderId="18" xfId="0" quotePrefix="1" applyNumberFormat="1" applyFont="1" applyFill="1" applyBorder="1" applyAlignment="1" applyProtection="1">
      <alignment vertical="top"/>
    </xf>
    <xf numFmtId="0" fontId="27" fillId="0" borderId="18" xfId="0" applyNumberFormat="1" applyFont="1" applyFill="1" applyBorder="1" applyAlignment="1" applyProtection="1">
      <alignment horizontal="left" vertical="top"/>
    </xf>
    <xf numFmtId="0" fontId="8" fillId="0" borderId="18" xfId="0" quotePrefix="1" applyNumberFormat="1" applyFont="1" applyFill="1" applyBorder="1" applyAlignment="1" applyProtection="1">
      <alignment horizontal="left" vertical="top"/>
    </xf>
    <xf numFmtId="0" fontId="17" fillId="0" borderId="18" xfId="0" quotePrefix="1" applyNumberFormat="1" applyFont="1" applyFill="1" applyBorder="1" applyAlignment="1" applyProtection="1">
      <alignment horizontal="left" vertical="top"/>
    </xf>
    <xf numFmtId="0" fontId="17" fillId="0" borderId="18" xfId="0" quotePrefix="1" applyNumberFormat="1" applyFont="1" applyFill="1" applyBorder="1" applyAlignment="1" applyProtection="1">
      <alignment vertical="top"/>
    </xf>
    <xf numFmtId="169" fontId="17" fillId="0" borderId="18" xfId="2" applyNumberFormat="1" applyFont="1" applyFill="1" applyBorder="1" applyAlignment="1">
      <alignment horizontal="right"/>
    </xf>
    <xf numFmtId="169" fontId="8" fillId="0" borderId="18" xfId="2" applyNumberFormat="1" applyFont="1" applyFill="1" applyBorder="1" applyAlignment="1">
      <alignment horizontal="right"/>
    </xf>
    <xf numFmtId="169" fontId="15" fillId="0" borderId="18" xfId="2" applyNumberFormat="1" applyFont="1" applyFill="1" applyBorder="1" applyAlignment="1">
      <alignment horizontal="right"/>
    </xf>
    <xf numFmtId="0" fontId="8" fillId="0" borderId="26" xfId="0" applyNumberFormat="1" applyFont="1" applyFill="1" applyBorder="1" applyAlignment="1" applyProtection="1">
      <alignment vertical="top" wrapText="1"/>
    </xf>
    <xf numFmtId="0" fontId="8" fillId="0" borderId="25" xfId="0" applyNumberFormat="1" applyFont="1" applyFill="1" applyBorder="1" applyAlignment="1" applyProtection="1">
      <alignment vertical="top" wrapText="1"/>
    </xf>
    <xf numFmtId="0" fontId="8" fillId="4" borderId="1" xfId="0" applyNumberFormat="1" applyFont="1" applyFill="1" applyBorder="1" applyAlignment="1" applyProtection="1">
      <alignment horizontal="center" vertical="top"/>
    </xf>
    <xf numFmtId="0" fontId="8" fillId="4" borderId="18" xfId="0" applyNumberFormat="1" applyFont="1" applyFill="1" applyBorder="1" applyAlignment="1" applyProtection="1">
      <alignment vertical="top"/>
    </xf>
    <xf numFmtId="0" fontId="8" fillId="4" borderId="12" xfId="0" applyNumberFormat="1" applyFont="1" applyFill="1" applyBorder="1" applyAlignment="1" applyProtection="1">
      <alignment vertical="top"/>
    </xf>
    <xf numFmtId="0" fontId="16" fillId="4" borderId="12" xfId="3" applyFont="1" applyFill="1" applyBorder="1" applyAlignment="1"/>
    <xf numFmtId="0" fontId="16" fillId="4" borderId="23" xfId="3" applyFont="1" applyFill="1" applyBorder="1" applyAlignment="1"/>
    <xf numFmtId="0" fontId="20" fillId="5" borderId="12" xfId="0" applyFont="1" applyFill="1" applyBorder="1" applyAlignment="1"/>
    <xf numFmtId="0" fontId="0" fillId="5" borderId="0" xfId="0" applyFill="1"/>
    <xf numFmtId="0" fontId="8" fillId="5" borderId="0" xfId="0" applyFont="1" applyFill="1"/>
    <xf numFmtId="0" fontId="15" fillId="4" borderId="1" xfId="0" quotePrefix="1" applyFont="1" applyFill="1" applyBorder="1" applyAlignment="1">
      <alignment horizontal="center"/>
    </xf>
    <xf numFmtId="0" fontId="17" fillId="4" borderId="1" xfId="0" quotePrefix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0" fillId="4" borderId="18" xfId="0" applyNumberFormat="1" applyFont="1" applyFill="1" applyBorder="1" applyAlignment="1" applyProtection="1">
      <alignment horizontal="left" vertical="top"/>
    </xf>
    <xf numFmtId="0" fontId="8" fillId="4" borderId="12" xfId="0" applyFont="1" applyFill="1" applyBorder="1"/>
    <xf numFmtId="167" fontId="10" fillId="4" borderId="1" xfId="1" applyNumberFormat="1" applyFont="1" applyFill="1" applyBorder="1"/>
    <xf numFmtId="0" fontId="26" fillId="7" borderId="12" xfId="0" applyNumberFormat="1" applyFont="1" applyFill="1" applyBorder="1" applyAlignment="1" applyProtection="1">
      <alignment horizontal="left" vertical="top"/>
    </xf>
    <xf numFmtId="167" fontId="10" fillId="7" borderId="1" xfId="1" applyNumberFormat="1" applyFont="1" applyFill="1" applyBorder="1" applyAlignment="1" applyProtection="1">
      <alignment horizontal="right" vertical="top"/>
    </xf>
    <xf numFmtId="169" fontId="15" fillId="7" borderId="18" xfId="2" applyNumberFormat="1" applyFont="1" applyFill="1" applyBorder="1" applyAlignment="1">
      <alignment horizontal="right" vertical="center"/>
    </xf>
    <xf numFmtId="0" fontId="0" fillId="7" borderId="0" xfId="0" applyFill="1"/>
    <xf numFmtId="169" fontId="15" fillId="7" borderId="18" xfId="2" applyNumberFormat="1" applyFont="1" applyFill="1" applyBorder="1" applyAlignment="1">
      <alignment horizontal="right"/>
    </xf>
    <xf numFmtId="0" fontId="10" fillId="7" borderId="20" xfId="0" applyNumberFormat="1" applyFont="1" applyFill="1" applyBorder="1" applyAlignment="1" applyProtection="1">
      <alignment horizontal="left" vertical="top"/>
    </xf>
    <xf numFmtId="0" fontId="14" fillId="4" borderId="12" xfId="3" applyFont="1" applyFill="1" applyBorder="1" applyAlignment="1"/>
    <xf numFmtId="0" fontId="14" fillId="4" borderId="23" xfId="3" applyFont="1" applyFill="1" applyBorder="1" applyAlignment="1"/>
    <xf numFmtId="0" fontId="0" fillId="0" borderId="0" xfId="0" applyAlignment="1">
      <alignment horizontal="center"/>
    </xf>
    <xf numFmtId="41" fontId="0" fillId="0" borderId="0" xfId="2" applyFont="1"/>
    <xf numFmtId="41" fontId="8" fillId="0" borderId="0" xfId="2" applyFont="1"/>
    <xf numFmtId="41" fontId="0" fillId="0" borderId="0" xfId="0" applyNumberFormat="1"/>
    <xf numFmtId="0" fontId="8" fillId="4" borderId="0" xfId="0" applyFont="1" applyFill="1"/>
    <xf numFmtId="0" fontId="8" fillId="6" borderId="0" xfId="0" applyFont="1" applyFill="1"/>
    <xf numFmtId="0" fontId="30" fillId="0" borderId="24" xfId="0" applyNumberFormat="1" applyFont="1" applyFill="1" applyBorder="1" applyAlignment="1" applyProtection="1">
      <alignment horizontal="center" vertical="top"/>
    </xf>
    <xf numFmtId="0" fontId="30" fillId="0" borderId="1" xfId="0" applyNumberFormat="1" applyFont="1" applyFill="1" applyBorder="1" applyAlignment="1" applyProtection="1">
      <alignment horizontal="center" vertical="top"/>
    </xf>
    <xf numFmtId="0" fontId="30" fillId="0" borderId="1" xfId="0" quotePrefix="1" applyNumberFormat="1" applyFont="1" applyFill="1" applyBorder="1" applyAlignment="1" applyProtection="1">
      <alignment horizontal="center" vertical="top"/>
    </xf>
    <xf numFmtId="0" fontId="31" fillId="0" borderId="12" xfId="0" applyFont="1" applyBorder="1"/>
    <xf numFmtId="0" fontId="30" fillId="0" borderId="12" xfId="0" applyNumberFormat="1" applyFont="1" applyFill="1" applyBorder="1" applyAlignment="1" applyProtection="1">
      <alignment vertical="top"/>
    </xf>
    <xf numFmtId="167" fontId="31" fillId="0" borderId="1" xfId="1" applyNumberFormat="1" applyFont="1" applyFill="1" applyBorder="1" applyAlignment="1" applyProtection="1">
      <alignment horizontal="right" vertical="top"/>
    </xf>
    <xf numFmtId="169" fontId="32" fillId="0" borderId="18" xfId="2" applyNumberFormat="1" applyFont="1" applyFill="1" applyBorder="1" applyAlignment="1">
      <alignment horizontal="right"/>
    </xf>
    <xf numFmtId="0" fontId="20" fillId="5" borderId="12" xfId="0" quotePrefix="1" applyFont="1" applyFill="1" applyBorder="1" applyAlignment="1"/>
    <xf numFmtId="0" fontId="31" fillId="0" borderId="12" xfId="3" applyFont="1" applyFill="1" applyBorder="1" applyAlignment="1"/>
    <xf numFmtId="0" fontId="31" fillId="0" borderId="23" xfId="3" applyFont="1" applyFill="1" applyBorder="1" applyAlignment="1"/>
    <xf numFmtId="0" fontId="8" fillId="0" borderId="46" xfId="0" applyNumberFormat="1" applyFont="1" applyFill="1" applyBorder="1" applyAlignment="1" applyProtection="1">
      <alignment horizontal="center" vertical="top"/>
    </xf>
    <xf numFmtId="0" fontId="8" fillId="0" borderId="47" xfId="0" applyNumberFormat="1" applyFont="1" applyFill="1" applyBorder="1" applyAlignment="1" applyProtection="1">
      <alignment horizontal="center" vertical="top"/>
    </xf>
    <xf numFmtId="169" fontId="17" fillId="0" borderId="33" xfId="2" applyNumberFormat="1" applyFont="1" applyFill="1" applyBorder="1" applyAlignment="1">
      <alignment horizontal="right"/>
    </xf>
    <xf numFmtId="3" fontId="23" fillId="0" borderId="0" xfId="1" applyNumberFormat="1" applyFont="1" applyBorder="1"/>
    <xf numFmtId="169" fontId="17" fillId="7" borderId="18" xfId="2" applyNumberFormat="1" applyFont="1" applyFill="1" applyBorder="1" applyAlignment="1">
      <alignment horizontal="right"/>
    </xf>
    <xf numFmtId="3" fontId="11" fillId="0" borderId="7" xfId="3" applyNumberFormat="1" applyFont="1" applyFill="1" applyBorder="1" applyAlignment="1">
      <alignment horizontal="center"/>
    </xf>
    <xf numFmtId="0" fontId="8" fillId="0" borderId="0" xfId="0" quotePrefix="1" applyNumberFormat="1" applyFont="1" applyFill="1" applyBorder="1" applyAlignment="1" applyProtection="1">
      <alignment horizontal="center" vertical="top"/>
    </xf>
    <xf numFmtId="169" fontId="17" fillId="0" borderId="0" xfId="2" applyNumberFormat="1" applyFont="1" applyFill="1" applyBorder="1" applyAlignment="1">
      <alignment horizontal="right"/>
    </xf>
    <xf numFmtId="41" fontId="10" fillId="2" borderId="18" xfId="2" applyFont="1" applyFill="1" applyBorder="1" applyAlignment="1"/>
    <xf numFmtId="41" fontId="10" fillId="2" borderId="1" xfId="2" applyFont="1" applyFill="1" applyBorder="1"/>
    <xf numFmtId="41" fontId="10" fillId="3" borderId="18" xfId="2" applyFont="1" applyFill="1" applyBorder="1" applyAlignment="1"/>
    <xf numFmtId="41" fontId="10" fillId="3" borderId="1" xfId="2" applyFont="1" applyFill="1" applyBorder="1" applyAlignment="1" applyProtection="1">
      <alignment horizontal="right" vertical="top"/>
    </xf>
    <xf numFmtId="41" fontId="10" fillId="3" borderId="1" xfId="2" applyFont="1" applyFill="1" applyBorder="1"/>
    <xf numFmtId="41" fontId="17" fillId="0" borderId="1" xfId="2" applyFont="1" applyFill="1" applyBorder="1"/>
    <xf numFmtId="41" fontId="15" fillId="0" borderId="18" xfId="2" applyFont="1" applyFill="1" applyBorder="1" applyAlignment="1"/>
    <xf numFmtId="41" fontId="15" fillId="0" borderId="1" xfId="2" applyFont="1" applyFill="1" applyBorder="1"/>
    <xf numFmtId="41" fontId="15" fillId="0" borderId="1" xfId="2" applyFont="1" applyFill="1" applyBorder="1" applyAlignment="1" applyProtection="1">
      <alignment horizontal="right" vertical="top"/>
    </xf>
    <xf numFmtId="41" fontId="15" fillId="2" borderId="18" xfId="2" applyFont="1" applyFill="1" applyBorder="1" applyAlignment="1"/>
    <xf numFmtId="41" fontId="17" fillId="0" borderId="1" xfId="2" applyFont="1" applyFill="1" applyBorder="1" applyAlignment="1" applyProtection="1">
      <alignment horizontal="right" vertical="top"/>
    </xf>
    <xf numFmtId="41" fontId="17" fillId="2" borderId="18" xfId="2" applyFont="1" applyFill="1" applyBorder="1" applyAlignment="1"/>
    <xf numFmtId="41" fontId="17" fillId="0" borderId="18" xfId="2" applyFont="1" applyFill="1" applyBorder="1" applyAlignment="1"/>
    <xf numFmtId="41" fontId="15" fillId="0" borderId="1" xfId="2" applyFont="1" applyBorder="1"/>
    <xf numFmtId="41" fontId="15" fillId="2" borderId="1" xfId="2" applyFont="1" applyFill="1" applyBorder="1"/>
    <xf numFmtId="41" fontId="17" fillId="0" borderId="18" xfId="2" applyFont="1" applyFill="1" applyBorder="1" applyAlignment="1" applyProtection="1">
      <alignment horizontal="right" vertical="top"/>
    </xf>
    <xf numFmtId="41" fontId="17" fillId="0" borderId="1" xfId="2" applyFont="1" applyBorder="1"/>
    <xf numFmtId="41" fontId="17" fillId="2" borderId="1" xfId="2" applyFont="1" applyFill="1" applyBorder="1"/>
    <xf numFmtId="41" fontId="28" fillId="0" borderId="1" xfId="2" applyFont="1" applyFill="1" applyBorder="1" applyAlignment="1" applyProtection="1">
      <alignment horizontal="right" vertical="top"/>
    </xf>
    <xf numFmtId="41" fontId="15" fillId="7" borderId="1" xfId="2" applyFont="1" applyFill="1" applyBorder="1" applyAlignment="1" applyProtection="1">
      <alignment horizontal="right" vertical="top"/>
    </xf>
    <xf numFmtId="41" fontId="28" fillId="7" borderId="1" xfId="2" applyFont="1" applyFill="1" applyBorder="1" applyAlignment="1" applyProtection="1">
      <alignment horizontal="right" vertical="top"/>
    </xf>
    <xf numFmtId="41" fontId="17" fillId="7" borderId="1" xfId="2" applyFont="1" applyFill="1" applyBorder="1" applyAlignment="1" applyProtection="1">
      <alignment horizontal="right" vertical="top"/>
    </xf>
    <xf numFmtId="41" fontId="17" fillId="7" borderId="18" xfId="2" applyFont="1" applyFill="1" applyBorder="1" applyAlignment="1"/>
    <xf numFmtId="41" fontId="17" fillId="7" borderId="1" xfId="2" applyFont="1" applyFill="1" applyBorder="1"/>
    <xf numFmtId="41" fontId="29" fillId="7" borderId="1" xfId="2" applyFont="1" applyFill="1" applyBorder="1"/>
    <xf numFmtId="41" fontId="28" fillId="0" borderId="1" xfId="2" applyFont="1" applyFill="1" applyBorder="1"/>
    <xf numFmtId="41" fontId="23" fillId="0" borderId="0" xfId="2" applyFont="1" applyBorder="1"/>
    <xf numFmtId="41" fontId="8" fillId="0" borderId="0" xfId="2" applyFont="1" applyFill="1" applyBorder="1" applyAlignment="1" applyProtection="1">
      <alignment horizontal="right" vertical="top"/>
    </xf>
    <xf numFmtId="41" fontId="8" fillId="2" borderId="0" xfId="2" applyFont="1" applyFill="1" applyBorder="1" applyAlignment="1"/>
    <xf numFmtId="41" fontId="0" fillId="5" borderId="0" xfId="2" applyFont="1" applyFill="1"/>
    <xf numFmtId="0" fontId="0" fillId="0" borderId="1" xfId="0" applyBorder="1"/>
    <xf numFmtId="41" fontId="17" fillId="7" borderId="18" xfId="2" applyFont="1" applyFill="1" applyBorder="1" applyAlignment="1">
      <alignment horizontal="center" vertical="center"/>
    </xf>
    <xf numFmtId="41" fontId="17" fillId="7" borderId="18" xfId="2" applyFont="1" applyFill="1" applyBorder="1" applyAlignment="1">
      <alignment vertical="center"/>
    </xf>
    <xf numFmtId="41" fontId="17" fillId="7" borderId="1" xfId="2" applyFont="1" applyFill="1" applyBorder="1" applyAlignment="1">
      <alignment vertical="center"/>
    </xf>
    <xf numFmtId="41" fontId="8" fillId="7" borderId="0" xfId="2" applyFont="1" applyFill="1"/>
    <xf numFmtId="41" fontId="8" fillId="0" borderId="0" xfId="2" applyFont="1" applyFill="1"/>
    <xf numFmtId="41" fontId="28" fillId="7" borderId="1" xfId="2" applyFont="1" applyFill="1" applyBorder="1"/>
    <xf numFmtId="41" fontId="17" fillId="0" borderId="33" xfId="2" applyFont="1" applyFill="1" applyBorder="1" applyAlignment="1"/>
    <xf numFmtId="41" fontId="17" fillId="0" borderId="47" xfId="2" applyFont="1" applyFill="1" applyBorder="1"/>
    <xf numFmtId="41" fontId="8" fillId="0" borderId="0" xfId="2" applyFont="1" applyFill="1" applyBorder="1" applyAlignment="1"/>
    <xf numFmtId="41" fontId="8" fillId="0" borderId="0" xfId="2" applyFont="1" applyFill="1" applyBorder="1"/>
    <xf numFmtId="41" fontId="8" fillId="5" borderId="0" xfId="2" applyFont="1" applyFill="1"/>
    <xf numFmtId="0" fontId="16" fillId="0" borderId="26" xfId="3" applyFont="1" applyFill="1" applyBorder="1" applyAlignment="1"/>
    <xf numFmtId="0" fontId="16" fillId="0" borderId="48" xfId="3" applyFont="1" applyFill="1" applyBorder="1" applyAlignment="1"/>
    <xf numFmtId="41" fontId="28" fillId="0" borderId="47" xfId="2" applyFont="1" applyFill="1" applyBorder="1" applyAlignment="1" applyProtection="1">
      <alignment horizontal="right" vertical="top"/>
    </xf>
    <xf numFmtId="0" fontId="10" fillId="4" borderId="50" xfId="0" applyNumberFormat="1" applyFont="1" applyFill="1" applyBorder="1" applyAlignment="1" applyProtection="1">
      <alignment horizontal="left" vertical="top"/>
    </xf>
    <xf numFmtId="0" fontId="8" fillId="4" borderId="51" xfId="0" applyNumberFormat="1" applyFont="1" applyFill="1" applyBorder="1" applyAlignment="1" applyProtection="1">
      <alignment horizontal="center" vertical="top"/>
    </xf>
    <xf numFmtId="0" fontId="8" fillId="4" borderId="27" xfId="0" applyNumberFormat="1" applyFont="1" applyFill="1" applyBorder="1" applyAlignment="1" applyProtection="1">
      <alignment vertical="top"/>
    </xf>
    <xf numFmtId="0" fontId="8" fillId="4" borderId="25" xfId="0" applyNumberFormat="1" applyFont="1" applyFill="1" applyBorder="1" applyAlignment="1" applyProtection="1">
      <alignment vertical="top"/>
    </xf>
    <xf numFmtId="0" fontId="16" fillId="4" borderId="25" xfId="3" applyFont="1" applyFill="1" applyBorder="1" applyAlignment="1"/>
    <xf numFmtId="0" fontId="16" fillId="4" borderId="28" xfId="3" applyFont="1" applyFill="1" applyBorder="1" applyAlignment="1"/>
    <xf numFmtId="167" fontId="10" fillId="4" borderId="51" xfId="1" applyNumberFormat="1" applyFont="1" applyFill="1" applyBorder="1" applyAlignment="1" applyProtection="1">
      <alignment horizontal="right" vertical="top"/>
    </xf>
    <xf numFmtId="169" fontId="17" fillId="0" borderId="27" xfId="2" applyNumberFormat="1" applyFont="1" applyFill="1" applyBorder="1" applyAlignment="1">
      <alignment horizontal="right"/>
    </xf>
    <xf numFmtId="41" fontId="15" fillId="0" borderId="51" xfId="2" applyFont="1" applyFill="1" applyBorder="1" applyAlignment="1" applyProtection="1">
      <alignment horizontal="right" vertical="top"/>
    </xf>
    <xf numFmtId="41" fontId="15" fillId="0" borderId="27" xfId="2" applyFont="1" applyFill="1" applyBorder="1" applyAlignment="1"/>
    <xf numFmtId="41" fontId="17" fillId="0" borderId="27" xfId="2" applyFont="1" applyFill="1" applyBorder="1" applyAlignment="1"/>
    <xf numFmtId="41" fontId="15" fillId="0" borderId="51" xfId="2" applyFont="1" applyFill="1" applyBorder="1"/>
    <xf numFmtId="0" fontId="8" fillId="0" borderId="52" xfId="0" applyNumberFormat="1" applyFont="1" applyFill="1" applyBorder="1" applyAlignment="1" applyProtection="1">
      <alignment horizontal="center" vertical="top"/>
    </xf>
    <xf numFmtId="0" fontId="8" fillId="0" borderId="53" xfId="0" applyNumberFormat="1" applyFont="1" applyFill="1" applyBorder="1" applyAlignment="1" applyProtection="1">
      <alignment horizontal="center" vertical="top"/>
    </xf>
    <xf numFmtId="0" fontId="8" fillId="0" borderId="54" xfId="0" applyNumberFormat="1" applyFont="1" applyFill="1" applyBorder="1" applyAlignment="1" applyProtection="1">
      <alignment vertical="top"/>
    </xf>
    <xf numFmtId="0" fontId="16" fillId="0" borderId="54" xfId="3" applyFont="1" applyFill="1" applyBorder="1" applyAlignment="1"/>
    <xf numFmtId="0" fontId="16" fillId="0" borderId="55" xfId="3" applyFont="1" applyFill="1" applyBorder="1" applyAlignment="1"/>
    <xf numFmtId="169" fontId="17" fillId="0" borderId="56" xfId="2" applyNumberFormat="1" applyFont="1" applyFill="1" applyBorder="1" applyAlignment="1">
      <alignment horizontal="right"/>
    </xf>
    <xf numFmtId="41" fontId="28" fillId="0" borderId="53" xfId="2" applyFont="1" applyFill="1" applyBorder="1" applyAlignment="1" applyProtection="1">
      <alignment horizontal="right" vertical="top"/>
    </xf>
    <xf numFmtId="0" fontId="27" fillId="0" borderId="54" xfId="0" applyNumberFormat="1" applyFont="1" applyFill="1" applyBorder="1" applyAlignment="1" applyProtection="1">
      <alignment horizontal="left" vertical="top"/>
    </xf>
    <xf numFmtId="0" fontId="8" fillId="0" borderId="30" xfId="0" applyNumberFormat="1" applyFont="1" applyFill="1" applyBorder="1" applyAlignment="1" applyProtection="1">
      <alignment vertical="top"/>
    </xf>
    <xf numFmtId="0" fontId="16" fillId="0" borderId="57" xfId="3" applyFont="1" applyFill="1" applyBorder="1" applyAlignment="1"/>
    <xf numFmtId="169" fontId="17" fillId="0" borderId="31" xfId="2" applyNumberFormat="1" applyFont="1" applyFill="1" applyBorder="1" applyAlignment="1">
      <alignment horizontal="right"/>
    </xf>
    <xf numFmtId="41" fontId="17" fillId="8" borderId="35" xfId="2" applyFont="1" applyFill="1" applyBorder="1" applyAlignment="1" applyProtection="1">
      <alignment horizontal="right" vertical="top"/>
    </xf>
    <xf numFmtId="41" fontId="17" fillId="8" borderId="31" xfId="2" applyFont="1" applyFill="1" applyBorder="1" applyAlignment="1"/>
    <xf numFmtId="41" fontId="17" fillId="9" borderId="35" xfId="2" applyFont="1" applyFill="1" applyBorder="1" applyAlignment="1" applyProtection="1">
      <alignment horizontal="right" vertical="top"/>
    </xf>
    <xf numFmtId="41" fontId="17" fillId="9" borderId="31" xfId="2" applyFont="1" applyFill="1" applyBorder="1" applyAlignment="1"/>
    <xf numFmtId="41" fontId="17" fillId="10" borderId="35" xfId="2" applyFont="1" applyFill="1" applyBorder="1"/>
    <xf numFmtId="41" fontId="15" fillId="10" borderId="35" xfId="2" applyFont="1" applyFill="1" applyBorder="1"/>
    <xf numFmtId="41" fontId="17" fillId="11" borderId="35" xfId="2" applyFont="1" applyFill="1" applyBorder="1"/>
    <xf numFmtId="41" fontId="27" fillId="9" borderId="35" xfId="2" applyFont="1" applyFill="1" applyBorder="1" applyAlignment="1" applyProtection="1">
      <alignment horizontal="right" vertical="top"/>
    </xf>
    <xf numFmtId="41" fontId="27" fillId="10" borderId="35" xfId="2" applyFont="1" applyFill="1" applyBorder="1" applyAlignment="1" applyProtection="1">
      <alignment horizontal="right" vertical="top"/>
    </xf>
    <xf numFmtId="41" fontId="17" fillId="11" borderId="35" xfId="2" applyFont="1" applyFill="1" applyBorder="1" applyAlignment="1" applyProtection="1">
      <alignment horizontal="right" vertical="top"/>
    </xf>
    <xf numFmtId="41" fontId="33" fillId="0" borderId="51" xfId="2" applyFont="1" applyFill="1" applyBorder="1"/>
    <xf numFmtId="167" fontId="17" fillId="0" borderId="53" xfId="1" applyNumberFormat="1" applyFont="1" applyFill="1" applyBorder="1" applyAlignment="1" applyProtection="1">
      <alignment horizontal="right" vertical="top"/>
    </xf>
    <xf numFmtId="41" fontId="17" fillId="8" borderId="57" xfId="2" applyFont="1" applyFill="1" applyBorder="1" applyAlignment="1" applyProtection="1">
      <alignment horizontal="right" vertical="top"/>
    </xf>
    <xf numFmtId="41" fontId="17" fillId="9" borderId="57" xfId="2" applyFont="1" applyFill="1" applyBorder="1" applyAlignment="1" applyProtection="1">
      <alignment horizontal="right" vertical="top"/>
    </xf>
    <xf numFmtId="41" fontId="15" fillId="10" borderId="57" xfId="2" applyFont="1" applyFill="1" applyBorder="1"/>
    <xf numFmtId="41" fontId="17" fillId="11" borderId="57" xfId="2" applyFont="1" applyFill="1" applyBorder="1"/>
    <xf numFmtId="41" fontId="27" fillId="0" borderId="0" xfId="2" applyFont="1"/>
    <xf numFmtId="0" fontId="10" fillId="4" borderId="58" xfId="0" applyNumberFormat="1" applyFont="1" applyFill="1" applyBorder="1" applyAlignment="1" applyProtection="1">
      <alignment vertical="top"/>
    </xf>
    <xf numFmtId="0" fontId="10" fillId="4" borderId="59" xfId="0" applyNumberFormat="1" applyFont="1" applyFill="1" applyBorder="1" applyAlignment="1" applyProtection="1">
      <alignment vertical="top"/>
    </xf>
    <xf numFmtId="0" fontId="10" fillId="4" borderId="60" xfId="0" applyNumberFormat="1" applyFont="1" applyFill="1" applyBorder="1" applyAlignment="1" applyProtection="1">
      <alignment vertical="top"/>
    </xf>
    <xf numFmtId="167" fontId="27" fillId="0" borderId="35" xfId="1" applyNumberFormat="1" applyFont="1" applyFill="1" applyBorder="1" applyAlignment="1" applyProtection="1">
      <alignment horizontal="right" vertical="top"/>
    </xf>
    <xf numFmtId="0" fontId="12" fillId="0" borderId="4" xfId="3" applyFont="1" applyFill="1" applyBorder="1" applyAlignment="1">
      <alignment horizontal="center"/>
    </xf>
    <xf numFmtId="0" fontId="12" fillId="0" borderId="62" xfId="3" applyFont="1" applyFill="1" applyBorder="1" applyAlignment="1">
      <alignment horizontal="center" vertical="center"/>
    </xf>
    <xf numFmtId="3" fontId="11" fillId="0" borderId="8" xfId="3" applyNumberFormat="1" applyFont="1" applyFill="1" applyBorder="1" applyAlignment="1">
      <alignment horizontal="center"/>
    </xf>
    <xf numFmtId="41" fontId="10" fillId="2" borderId="19" xfId="2" applyFont="1" applyFill="1" applyBorder="1"/>
    <xf numFmtId="41" fontId="10" fillId="3" borderId="19" xfId="2" applyFont="1" applyFill="1" applyBorder="1"/>
    <xf numFmtId="41" fontId="15" fillId="0" borderId="19" xfId="2" applyFont="1" applyFill="1" applyBorder="1"/>
    <xf numFmtId="41" fontId="17" fillId="0" borderId="19" xfId="2" applyFont="1" applyFill="1" applyBorder="1"/>
    <xf numFmtId="41" fontId="17" fillId="0" borderId="19" xfId="2" applyFont="1" applyFill="1" applyBorder="1" applyAlignment="1"/>
    <xf numFmtId="41" fontId="15" fillId="2" borderId="19" xfId="2" applyFont="1" applyFill="1" applyBorder="1"/>
    <xf numFmtId="41" fontId="17" fillId="2" borderId="19" xfId="2" applyFont="1" applyFill="1" applyBorder="1"/>
    <xf numFmtId="41" fontId="15" fillId="0" borderId="49" xfId="2" applyFont="1" applyFill="1" applyBorder="1"/>
    <xf numFmtId="41" fontId="28" fillId="0" borderId="63" xfId="2" applyFont="1" applyFill="1" applyBorder="1" applyAlignment="1" applyProtection="1">
      <alignment horizontal="right" vertical="top"/>
    </xf>
    <xf numFmtId="41" fontId="17" fillId="11" borderId="64" xfId="2" applyFont="1" applyFill="1" applyBorder="1"/>
    <xf numFmtId="41" fontId="15" fillId="0" borderId="65" xfId="2" applyFont="1" applyFill="1" applyBorder="1"/>
    <xf numFmtId="41" fontId="17" fillId="7" borderId="19" xfId="2" applyFont="1" applyFill="1" applyBorder="1" applyAlignment="1">
      <alignment vertical="center"/>
    </xf>
    <xf numFmtId="41" fontId="17" fillId="2" borderId="19" xfId="2" applyFont="1" applyFill="1" applyBorder="1" applyAlignment="1"/>
    <xf numFmtId="41" fontId="17" fillId="11" borderId="36" xfId="2" applyFont="1" applyFill="1" applyBorder="1"/>
    <xf numFmtId="41" fontId="17" fillId="7" borderId="19" xfId="2" applyFont="1" applyFill="1" applyBorder="1"/>
    <xf numFmtId="0" fontId="8" fillId="0" borderId="17" xfId="0" applyNumberFormat="1" applyFont="1" applyFill="1" applyBorder="1" applyAlignment="1" applyProtection="1">
      <alignment horizontal="center" vertical="top"/>
    </xf>
    <xf numFmtId="41" fontId="8" fillId="0" borderId="4" xfId="2" applyFont="1" applyFill="1" applyBorder="1"/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2" xfId="0" quotePrefix="1" applyNumberFormat="1" applyFont="1" applyFill="1" applyBorder="1" applyAlignment="1" applyProtection="1">
      <alignment horizontal="center" vertical="top"/>
    </xf>
    <xf numFmtId="0" fontId="20" fillId="0" borderId="2" xfId="0" applyFont="1" applyBorder="1"/>
    <xf numFmtId="0" fontId="8" fillId="0" borderId="2" xfId="0" applyNumberFormat="1" applyFont="1" applyFill="1" applyBorder="1" applyAlignment="1" applyProtection="1">
      <alignment vertical="top"/>
    </xf>
    <xf numFmtId="0" fontId="10" fillId="0" borderId="2" xfId="3" applyFont="1" applyFill="1" applyBorder="1" applyAlignment="1"/>
    <xf numFmtId="3" fontId="23" fillId="0" borderId="2" xfId="1" applyNumberFormat="1" applyFont="1" applyBorder="1"/>
    <xf numFmtId="169" fontId="17" fillId="0" borderId="2" xfId="2" applyNumberFormat="1" applyFont="1" applyFill="1" applyBorder="1" applyAlignment="1">
      <alignment horizontal="right"/>
    </xf>
    <xf numFmtId="41" fontId="23" fillId="0" borderId="2" xfId="2" applyFont="1" applyBorder="1"/>
    <xf numFmtId="41" fontId="8" fillId="0" borderId="2" xfId="2" applyFont="1" applyFill="1" applyBorder="1" applyAlignment="1"/>
    <xf numFmtId="41" fontId="8" fillId="0" borderId="2" xfId="2" applyFont="1" applyFill="1" applyBorder="1" applyAlignment="1" applyProtection="1">
      <alignment horizontal="right" vertical="top"/>
    </xf>
    <xf numFmtId="41" fontId="8" fillId="0" borderId="2" xfId="2" applyFont="1" applyFill="1" applyBorder="1"/>
    <xf numFmtId="41" fontId="8" fillId="0" borderId="3" xfId="2" applyFont="1" applyFill="1" applyBorder="1"/>
    <xf numFmtId="41" fontId="17" fillId="0" borderId="51" xfId="2" applyFont="1" applyFill="1" applyBorder="1"/>
    <xf numFmtId="0" fontId="8" fillId="5" borderId="9" xfId="0" applyFont="1" applyFill="1" applyBorder="1"/>
    <xf numFmtId="0" fontId="0" fillId="5" borderId="10" xfId="0" applyFill="1" applyBorder="1"/>
    <xf numFmtId="41" fontId="17" fillId="2" borderId="1" xfId="2" applyFont="1" applyFill="1" applyBorder="1" applyAlignment="1"/>
    <xf numFmtId="0" fontId="0" fillId="0" borderId="66" xfId="0" applyBorder="1"/>
    <xf numFmtId="0" fontId="0" fillId="0" borderId="12" xfId="0" applyBorder="1"/>
    <xf numFmtId="0" fontId="0" fillId="0" borderId="23" xfId="0" applyBorder="1"/>
    <xf numFmtId="41" fontId="17" fillId="0" borderId="1" xfId="2" applyFont="1" applyFill="1" applyBorder="1" applyAlignment="1"/>
    <xf numFmtId="41" fontId="28" fillId="0" borderId="18" xfId="2" applyFont="1" applyFill="1" applyBorder="1" applyAlignment="1" applyProtection="1">
      <alignment horizontal="right" vertical="top"/>
    </xf>
    <xf numFmtId="0" fontId="8" fillId="4" borderId="25" xfId="0" applyNumberFormat="1" applyFont="1" applyFill="1" applyBorder="1" applyAlignment="1" applyProtection="1">
      <alignment horizontal="left" vertical="top" wrapText="1"/>
    </xf>
    <xf numFmtId="0" fontId="8" fillId="4" borderId="25" xfId="0" applyNumberFormat="1" applyFont="1" applyFill="1" applyBorder="1" applyAlignment="1" applyProtection="1">
      <alignment horizontal="left" vertical="top"/>
    </xf>
    <xf numFmtId="41" fontId="17" fillId="0" borderId="0" xfId="0" applyNumberFormat="1" applyFont="1"/>
    <xf numFmtId="0" fontId="20" fillId="7" borderId="18" xfId="0" quotePrefix="1" applyFont="1" applyFill="1" applyBorder="1"/>
    <xf numFmtId="0" fontId="20" fillId="7" borderId="12" xfId="0" applyFont="1" applyFill="1" applyBorder="1"/>
    <xf numFmtId="0" fontId="8" fillId="7" borderId="12" xfId="0" applyNumberFormat="1" applyFont="1" applyFill="1" applyBorder="1" applyAlignment="1" applyProtection="1">
      <alignment vertical="top"/>
    </xf>
    <xf numFmtId="0" fontId="10" fillId="7" borderId="12" xfId="3" applyFont="1" applyFill="1" applyBorder="1" applyAlignment="1"/>
    <xf numFmtId="0" fontId="10" fillId="7" borderId="23" xfId="3" applyFont="1" applyFill="1" applyBorder="1" applyAlignment="1"/>
    <xf numFmtId="3" fontId="20" fillId="7" borderId="1" xfId="1" applyNumberFormat="1" applyFont="1" applyFill="1" applyBorder="1"/>
    <xf numFmtId="0" fontId="0" fillId="0" borderId="18" xfId="0" applyBorder="1"/>
    <xf numFmtId="0" fontId="20" fillId="4" borderId="12" xfId="0" applyFont="1" applyFill="1" applyBorder="1" applyAlignment="1"/>
    <xf numFmtId="0" fontId="8" fillId="0" borderId="0" xfId="0" quotePrefix="1" applyFont="1" applyBorder="1"/>
    <xf numFmtId="0" fontId="8" fillId="0" borderId="12" xfId="0" quotePrefix="1" applyFont="1" applyBorder="1"/>
    <xf numFmtId="0" fontId="10" fillId="0" borderId="18" xfId="0" applyNumberFormat="1" applyFont="1" applyFill="1" applyBorder="1" applyAlignment="1" applyProtection="1">
      <alignment horizontal="left" vertical="top"/>
    </xf>
    <xf numFmtId="0" fontId="10" fillId="0" borderId="12" xfId="0" applyNumberFormat="1" applyFont="1" applyFill="1" applyBorder="1" applyAlignment="1" applyProtection="1">
      <alignment horizontal="left" vertical="top"/>
    </xf>
    <xf numFmtId="0" fontId="10" fillId="0" borderId="23" xfId="0" applyNumberFormat="1" applyFont="1" applyFill="1" applyBorder="1" applyAlignment="1" applyProtection="1">
      <alignment horizontal="left" vertical="top"/>
    </xf>
    <xf numFmtId="0" fontId="8" fillId="0" borderId="18" xfId="0" applyNumberFormat="1" applyFont="1" applyFill="1" applyBorder="1" applyAlignment="1" applyProtection="1">
      <alignment horizontal="left" vertical="top"/>
    </xf>
    <xf numFmtId="0" fontId="8" fillId="0" borderId="12" xfId="0" applyNumberFormat="1" applyFont="1" applyFill="1" applyBorder="1" applyAlignment="1" applyProtection="1">
      <alignment horizontal="left" vertical="top"/>
    </xf>
    <xf numFmtId="0" fontId="8" fillId="0" borderId="23" xfId="0" applyNumberFormat="1" applyFont="1" applyFill="1" applyBorder="1" applyAlignment="1" applyProtection="1">
      <alignment horizontal="left" vertical="top"/>
    </xf>
    <xf numFmtId="0" fontId="10" fillId="0" borderId="20" xfId="0" applyNumberFormat="1" applyFont="1" applyFill="1" applyBorder="1" applyAlignment="1" applyProtection="1">
      <alignment horizontal="left" vertical="top"/>
    </xf>
    <xf numFmtId="0" fontId="10" fillId="4" borderId="2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8" fillId="0" borderId="2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center" vertical="top"/>
    </xf>
    <xf numFmtId="0" fontId="8" fillId="0" borderId="12" xfId="0" quotePrefix="1" applyNumberFormat="1" applyFont="1" applyFill="1" applyBorder="1" applyAlignment="1" applyProtection="1">
      <alignment horizontal="center" vertical="top"/>
    </xf>
    <xf numFmtId="169" fontId="17" fillId="0" borderId="12" xfId="2" applyNumberFormat="1" applyFont="1" applyFill="1" applyBorder="1" applyAlignment="1">
      <alignment horizontal="right"/>
    </xf>
    <xf numFmtId="0" fontId="8" fillId="0" borderId="33" xfId="0" applyNumberFormat="1" applyFont="1" applyFill="1" applyBorder="1" applyAlignment="1" applyProtection="1">
      <alignment horizontal="left" vertical="top"/>
    </xf>
    <xf numFmtId="0" fontId="8" fillId="0" borderId="26" xfId="0" applyNumberFormat="1" applyFont="1" applyFill="1" applyBorder="1" applyAlignment="1" applyProtection="1">
      <alignment horizontal="center" vertical="top"/>
    </xf>
    <xf numFmtId="0" fontId="8" fillId="0" borderId="26" xfId="0" quotePrefix="1" applyNumberFormat="1" applyFont="1" applyFill="1" applyBorder="1" applyAlignment="1" applyProtection="1">
      <alignment horizontal="center" vertical="top"/>
    </xf>
    <xf numFmtId="0" fontId="10" fillId="0" borderId="26" xfId="3" applyFont="1" applyFill="1" applyBorder="1" applyAlignment="1"/>
    <xf numFmtId="169" fontId="17" fillId="0" borderId="26" xfId="2" applyNumberFormat="1" applyFont="1" applyFill="1" applyBorder="1" applyAlignment="1">
      <alignment horizontal="right"/>
    </xf>
    <xf numFmtId="0" fontId="8" fillId="0" borderId="13" xfId="0" applyNumberFormat="1" applyFont="1" applyFill="1" applyBorder="1" applyAlignment="1" applyProtection="1">
      <alignment horizontal="left" vertical="top"/>
    </xf>
    <xf numFmtId="0" fontId="8" fillId="0" borderId="67" xfId="0" applyNumberFormat="1" applyFont="1" applyFill="1" applyBorder="1" applyAlignment="1" applyProtection="1">
      <alignment vertical="top"/>
    </xf>
    <xf numFmtId="0" fontId="10" fillId="0" borderId="67" xfId="3" applyFont="1" applyFill="1" applyBorder="1" applyAlignment="1"/>
    <xf numFmtId="0" fontId="8" fillId="0" borderId="43" xfId="0" applyNumberFormat="1" applyFont="1" applyFill="1" applyBorder="1" applyAlignment="1" applyProtection="1">
      <alignment horizontal="center" vertical="top"/>
    </xf>
    <xf numFmtId="0" fontId="8" fillId="0" borderId="68" xfId="0" quotePrefix="1" applyNumberFormat="1" applyFont="1" applyFill="1" applyBorder="1" applyAlignment="1" applyProtection="1">
      <alignment horizontal="center" vertical="top"/>
    </xf>
    <xf numFmtId="0" fontId="20" fillId="0" borderId="68" xfId="0" applyFont="1" applyBorder="1"/>
    <xf numFmtId="0" fontId="8" fillId="0" borderId="68" xfId="0" applyNumberFormat="1" applyFont="1" applyFill="1" applyBorder="1" applyAlignment="1" applyProtection="1">
      <alignment vertical="top"/>
    </xf>
    <xf numFmtId="0" fontId="10" fillId="0" borderId="68" xfId="3" applyFont="1" applyFill="1" applyBorder="1" applyAlignment="1"/>
    <xf numFmtId="169" fontId="17" fillId="0" borderId="68" xfId="2" applyNumberFormat="1" applyFont="1" applyFill="1" applyBorder="1" applyAlignment="1">
      <alignment horizontal="right"/>
    </xf>
    <xf numFmtId="3" fontId="20" fillId="0" borderId="12" xfId="1" applyNumberFormat="1" applyFont="1" applyBorder="1"/>
    <xf numFmtId="3" fontId="20" fillId="0" borderId="26" xfId="1" applyNumberFormat="1" applyFont="1" applyBorder="1"/>
    <xf numFmtId="3" fontId="20" fillId="0" borderId="0" xfId="1" applyNumberFormat="1" applyFont="1" applyBorder="1"/>
    <xf numFmtId="41" fontId="20" fillId="0" borderId="47" xfId="2" applyFont="1" applyBorder="1"/>
    <xf numFmtId="3" fontId="20" fillId="0" borderId="67" xfId="1" applyNumberFormat="1" applyFont="1" applyBorder="1"/>
    <xf numFmtId="0" fontId="16" fillId="0" borderId="0" xfId="3" applyFont="1" applyFill="1" applyBorder="1" applyAlignment="1"/>
    <xf numFmtId="167" fontId="27" fillId="0" borderId="0" xfId="1" applyNumberFormat="1" applyFont="1" applyFill="1" applyBorder="1" applyAlignment="1" applyProtection="1">
      <alignment horizontal="right" vertical="top"/>
    </xf>
    <xf numFmtId="0" fontId="8" fillId="0" borderId="27" xfId="0" applyNumberFormat="1" applyFont="1" applyFill="1" applyBorder="1" applyAlignment="1" applyProtection="1">
      <alignment horizontal="center" vertical="top"/>
    </xf>
    <xf numFmtId="0" fontId="8" fillId="0" borderId="25" xfId="0" applyNumberFormat="1" applyFont="1" applyFill="1" applyBorder="1" applyAlignment="1" applyProtection="1">
      <alignment horizontal="center" vertical="top"/>
    </xf>
    <xf numFmtId="0" fontId="8" fillId="0" borderId="25" xfId="0" quotePrefix="1" applyNumberFormat="1" applyFont="1" applyFill="1" applyBorder="1" applyAlignment="1" applyProtection="1">
      <alignment horizontal="center" vertical="top"/>
    </xf>
    <xf numFmtId="0" fontId="10" fillId="0" borderId="25" xfId="3" applyFont="1" applyFill="1" applyBorder="1" applyAlignment="1"/>
    <xf numFmtId="3" fontId="23" fillId="0" borderId="25" xfId="1" applyNumberFormat="1" applyFont="1" applyBorder="1"/>
    <xf numFmtId="169" fontId="17" fillId="0" borderId="25" xfId="2" applyNumberFormat="1" applyFont="1" applyFill="1" applyBorder="1" applyAlignment="1">
      <alignment horizontal="right"/>
    </xf>
    <xf numFmtId="41" fontId="8" fillId="0" borderId="51" xfId="2" applyFont="1" applyFill="1" applyBorder="1" applyAlignment="1" applyProtection="1">
      <alignment horizontal="right" vertical="top"/>
    </xf>
    <xf numFmtId="41" fontId="8" fillId="0" borderId="51" xfId="2" applyFont="1" applyFill="1" applyBorder="1"/>
    <xf numFmtId="41" fontId="8" fillId="0" borderId="51" xfId="2" applyFont="1" applyFill="1" applyBorder="1" applyAlignment="1">
      <alignment horizontal="center"/>
    </xf>
    <xf numFmtId="169" fontId="17" fillId="0" borderId="67" xfId="2" applyNumberFormat="1" applyFont="1" applyFill="1" applyBorder="1" applyAlignment="1">
      <alignment horizontal="right"/>
    </xf>
    <xf numFmtId="169" fontId="17" fillId="0" borderId="72" xfId="2" applyNumberFormat="1" applyFont="1" applyFill="1" applyBorder="1" applyAlignment="1">
      <alignment horizontal="right"/>
    </xf>
    <xf numFmtId="0" fontId="8" fillId="0" borderId="27" xfId="0" applyNumberFormat="1" applyFont="1" applyFill="1" applyBorder="1" applyAlignment="1" applyProtection="1">
      <alignment vertical="top"/>
    </xf>
    <xf numFmtId="0" fontId="8" fillId="0" borderId="33" xfId="0" applyNumberFormat="1" applyFont="1" applyFill="1" applyBorder="1" applyAlignment="1" applyProtection="1">
      <alignment vertical="top"/>
    </xf>
    <xf numFmtId="41" fontId="8" fillId="0" borderId="75" xfId="2" applyFont="1" applyFill="1" applyBorder="1" applyAlignment="1">
      <alignment horizontal="center"/>
    </xf>
    <xf numFmtId="41" fontId="20" fillId="0" borderId="70" xfId="2" applyFont="1" applyBorder="1" applyAlignment="1">
      <alignment horizontal="center"/>
    </xf>
    <xf numFmtId="41" fontId="8" fillId="0" borderId="75" xfId="2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8" fillId="0" borderId="13" xfId="0" applyNumberFormat="1" applyFont="1" applyFill="1" applyBorder="1" applyAlignment="1" applyProtection="1">
      <alignment horizontal="center" vertical="top"/>
    </xf>
    <xf numFmtId="41" fontId="8" fillId="0" borderId="21" xfId="2" applyFont="1" applyFill="1" applyBorder="1"/>
    <xf numFmtId="0" fontId="8" fillId="0" borderId="68" xfId="0" applyNumberFormat="1" applyFont="1" applyFill="1" applyBorder="1" applyAlignment="1" applyProtection="1">
      <alignment horizontal="center" vertical="top"/>
    </xf>
    <xf numFmtId="3" fontId="23" fillId="0" borderId="68" xfId="1" applyNumberFormat="1" applyFont="1" applyBorder="1"/>
    <xf numFmtId="41" fontId="23" fillId="0" borderId="68" xfId="2" applyFont="1" applyBorder="1"/>
    <xf numFmtId="41" fontId="8" fillId="0" borderId="68" xfId="2" applyFont="1" applyFill="1" applyBorder="1" applyAlignment="1"/>
    <xf numFmtId="41" fontId="8" fillId="0" borderId="68" xfId="2" applyFont="1" applyFill="1" applyBorder="1" applyAlignment="1" applyProtection="1">
      <alignment horizontal="right" vertical="top"/>
    </xf>
    <xf numFmtId="41" fontId="8" fillId="0" borderId="68" xfId="2" applyFont="1" applyFill="1" applyBorder="1"/>
    <xf numFmtId="41" fontId="8" fillId="0" borderId="44" xfId="2" applyFont="1" applyFill="1" applyBorder="1"/>
    <xf numFmtId="0" fontId="0" fillId="0" borderId="21" xfId="0" applyBorder="1"/>
    <xf numFmtId="41" fontId="8" fillId="0" borderId="21" xfId="2" applyFont="1" applyBorder="1"/>
    <xf numFmtId="0" fontId="0" fillId="5" borderId="0" xfId="0" applyFill="1" applyBorder="1"/>
    <xf numFmtId="43" fontId="12" fillId="0" borderId="2" xfId="1" applyFont="1" applyFill="1" applyBorder="1" applyAlignment="1"/>
    <xf numFmtId="43" fontId="12" fillId="0" borderId="3" xfId="1" applyFont="1" applyFill="1" applyBorder="1" applyAlignment="1"/>
    <xf numFmtId="167" fontId="27" fillId="0" borderId="0" xfId="1" applyNumberFormat="1" applyFont="1" applyFill="1" applyBorder="1" applyAlignment="1" applyProtection="1">
      <alignment horizontal="center" vertical="top"/>
    </xf>
    <xf numFmtId="41" fontId="27" fillId="7" borderId="0" xfId="2" applyFont="1" applyFill="1" applyBorder="1" applyAlignment="1" applyProtection="1">
      <alignment vertical="top"/>
    </xf>
    <xf numFmtId="41" fontId="27" fillId="7" borderId="4" xfId="2" applyFont="1" applyFill="1" applyBorder="1" applyAlignment="1" applyProtection="1">
      <alignment vertical="top"/>
    </xf>
    <xf numFmtId="0" fontId="15" fillId="0" borderId="12" xfId="0" quotePrefix="1" applyFont="1" applyFill="1" applyBorder="1" applyAlignment="1">
      <alignment horizontal="center"/>
    </xf>
    <xf numFmtId="0" fontId="17" fillId="0" borderId="12" xfId="0" quotePrefix="1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5" fillId="4" borderId="12" xfId="0" quotePrefix="1" applyFont="1" applyFill="1" applyBorder="1" applyAlignment="1">
      <alignment horizontal="center"/>
    </xf>
    <xf numFmtId="0" fontId="17" fillId="4" borderId="12" xfId="0" quotePrefix="1" applyFont="1" applyFill="1" applyBorder="1" applyAlignment="1">
      <alignment horizontal="center"/>
    </xf>
    <xf numFmtId="0" fontId="17" fillId="4" borderId="1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0" borderId="20" xfId="0" applyNumberFormat="1" applyFont="1" applyFill="1" applyBorder="1" applyAlignment="1" applyProtection="1">
      <alignment horizontal="center" vertical="top"/>
    </xf>
    <xf numFmtId="0" fontId="10" fillId="0" borderId="12" xfId="0" applyNumberFormat="1" applyFont="1" applyFill="1" applyBorder="1" applyAlignment="1" applyProtection="1">
      <alignment horizontal="center" vertical="top"/>
    </xf>
    <xf numFmtId="0" fontId="8" fillId="0" borderId="23" xfId="0" applyNumberFormat="1" applyFont="1" applyFill="1" applyBorder="1" applyAlignment="1" applyProtection="1">
      <alignment horizontal="center" vertical="top"/>
    </xf>
    <xf numFmtId="0" fontId="10" fillId="0" borderId="12" xfId="0" quotePrefix="1" applyNumberFormat="1" applyFont="1" applyFill="1" applyBorder="1" applyAlignment="1" applyProtection="1">
      <alignment horizontal="center" vertical="top"/>
    </xf>
    <xf numFmtId="0" fontId="8" fillId="0" borderId="20" xfId="0" applyNumberFormat="1" applyFont="1" applyFill="1" applyBorder="1" applyAlignment="1" applyProtection="1">
      <alignment horizontal="center" vertical="top"/>
    </xf>
    <xf numFmtId="0" fontId="8" fillId="0" borderId="23" xfId="0" quotePrefix="1" applyNumberFormat="1" applyFont="1" applyFill="1" applyBorder="1" applyAlignment="1" applyProtection="1">
      <alignment horizontal="center" vertical="top"/>
    </xf>
    <xf numFmtId="0" fontId="10" fillId="0" borderId="23" xfId="0" quotePrefix="1" applyNumberFormat="1" applyFont="1" applyFill="1" applyBorder="1" applyAlignment="1" applyProtection="1">
      <alignment horizontal="center" vertical="top"/>
    </xf>
    <xf numFmtId="0" fontId="8" fillId="0" borderId="79" xfId="0" applyNumberFormat="1" applyFont="1" applyFill="1" applyBorder="1" applyAlignment="1" applyProtection="1">
      <alignment horizontal="center" vertical="top"/>
    </xf>
    <xf numFmtId="0" fontId="8" fillId="0" borderId="48" xfId="0" applyNumberFormat="1" applyFont="1" applyFill="1" applyBorder="1" applyAlignment="1" applyProtection="1">
      <alignment horizontal="center" vertical="top"/>
    </xf>
    <xf numFmtId="0" fontId="8" fillId="0" borderId="80" xfId="0" applyNumberFormat="1" applyFont="1" applyFill="1" applyBorder="1" applyAlignment="1" applyProtection="1">
      <alignment horizontal="center" vertical="top"/>
    </xf>
    <xf numFmtId="0" fontId="8" fillId="0" borderId="54" xfId="0" applyNumberFormat="1" applyFont="1" applyFill="1" applyBorder="1" applyAlignment="1" applyProtection="1">
      <alignment horizontal="center" vertical="top"/>
    </xf>
    <xf numFmtId="0" fontId="8" fillId="0" borderId="55" xfId="0" applyNumberFormat="1" applyFont="1" applyFill="1" applyBorder="1" applyAlignment="1" applyProtection="1">
      <alignment horizontal="center" vertical="top"/>
    </xf>
    <xf numFmtId="0" fontId="8" fillId="4" borderId="25" xfId="0" applyNumberFormat="1" applyFont="1" applyFill="1" applyBorder="1" applyAlignment="1" applyProtection="1">
      <alignment horizontal="center" vertical="top"/>
    </xf>
    <xf numFmtId="0" fontId="8" fillId="4" borderId="28" xfId="0" applyNumberFormat="1" applyFont="1" applyFill="1" applyBorder="1" applyAlignment="1" applyProtection="1">
      <alignment horizontal="center" vertical="top"/>
    </xf>
    <xf numFmtId="0" fontId="8" fillId="4" borderId="12" xfId="0" applyNumberFormat="1" applyFont="1" applyFill="1" applyBorder="1" applyAlignment="1" applyProtection="1">
      <alignment horizontal="center" vertical="top"/>
    </xf>
    <xf numFmtId="0" fontId="8" fillId="4" borderId="23" xfId="0" applyNumberFormat="1" applyFont="1" applyFill="1" applyBorder="1" applyAlignment="1" applyProtection="1">
      <alignment horizontal="center" vertical="top"/>
    </xf>
    <xf numFmtId="0" fontId="30" fillId="0" borderId="20" xfId="0" applyNumberFormat="1" applyFont="1" applyFill="1" applyBorder="1" applyAlignment="1" applyProtection="1">
      <alignment horizontal="center" vertical="top"/>
    </xf>
    <xf numFmtId="0" fontId="30" fillId="0" borderId="12" xfId="0" applyNumberFormat="1" applyFont="1" applyFill="1" applyBorder="1" applyAlignment="1" applyProtection="1">
      <alignment horizontal="center" vertical="top"/>
    </xf>
    <xf numFmtId="0" fontId="30" fillId="0" borderId="12" xfId="0" quotePrefix="1" applyNumberFormat="1" applyFont="1" applyFill="1" applyBorder="1" applyAlignment="1" applyProtection="1">
      <alignment horizontal="center" vertical="top"/>
    </xf>
    <xf numFmtId="0" fontId="30" fillId="0" borderId="23" xfId="0" quotePrefix="1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8" fillId="0" borderId="25" xfId="0" applyNumberFormat="1" applyFont="1" applyFill="1" applyBorder="1" applyAlignment="1" applyProtection="1">
      <alignment horizontal="left" vertical="top" wrapText="1"/>
    </xf>
    <xf numFmtId="0" fontId="8" fillId="0" borderId="18" xfId="0" applyNumberFormat="1" applyFont="1" applyFill="1" applyBorder="1" applyAlignment="1" applyProtection="1">
      <alignment horizontal="left" vertical="top"/>
    </xf>
    <xf numFmtId="0" fontId="8" fillId="0" borderId="12" xfId="0" applyNumberFormat="1" applyFont="1" applyFill="1" applyBorder="1" applyAlignment="1" applyProtection="1">
      <alignment horizontal="left" vertical="top"/>
    </xf>
    <xf numFmtId="0" fontId="8" fillId="0" borderId="23" xfId="0" applyNumberFormat="1" applyFont="1" applyFill="1" applyBorder="1" applyAlignment="1" applyProtection="1">
      <alignment horizontal="left" vertical="top"/>
    </xf>
    <xf numFmtId="4" fontId="12" fillId="0" borderId="6" xfId="3" applyNumberFormat="1" applyFont="1" applyFill="1" applyBorder="1" applyAlignment="1">
      <alignment horizontal="center" vertical="center"/>
    </xf>
    <xf numFmtId="4" fontId="12" fillId="0" borderId="13" xfId="3" applyNumberFormat="1" applyFont="1" applyFill="1" applyBorder="1" applyAlignment="1">
      <alignment horizontal="center" vertical="center"/>
    </xf>
    <xf numFmtId="4" fontId="12" fillId="0" borderId="14" xfId="3" applyNumberFormat="1" applyFont="1" applyFill="1" applyBorder="1" applyAlignment="1">
      <alignment horizontal="center"/>
    </xf>
    <xf numFmtId="169" fontId="17" fillId="0" borderId="16" xfId="2" applyNumberFormat="1" applyFont="1" applyFill="1" applyBorder="1" applyAlignment="1">
      <alignment horizontal="right"/>
    </xf>
    <xf numFmtId="169" fontId="17" fillId="0" borderId="70" xfId="2" applyNumberFormat="1" applyFont="1" applyFill="1" applyBorder="1" applyAlignment="1">
      <alignment horizontal="right"/>
    </xf>
    <xf numFmtId="169" fontId="17" fillId="0" borderId="51" xfId="2" applyNumberFormat="1" applyFont="1" applyFill="1" applyBorder="1" applyAlignment="1">
      <alignment horizontal="right"/>
    </xf>
    <xf numFmtId="169" fontId="17" fillId="0" borderId="1" xfId="2" applyNumberFormat="1" applyFont="1" applyFill="1" applyBorder="1" applyAlignment="1">
      <alignment horizontal="right"/>
    </xf>
    <xf numFmtId="169" fontId="17" fillId="0" borderId="47" xfId="2" applyNumberFormat="1" applyFont="1" applyFill="1" applyBorder="1" applyAlignment="1">
      <alignment horizontal="right"/>
    </xf>
    <xf numFmtId="169" fontId="17" fillId="0" borderId="32" xfId="2" applyNumberFormat="1" applyFont="1" applyFill="1" applyBorder="1" applyAlignment="1">
      <alignment horizontal="right"/>
    </xf>
    <xf numFmtId="3" fontId="20" fillId="0" borderId="16" xfId="1" applyNumberFormat="1" applyFont="1" applyBorder="1"/>
    <xf numFmtId="169" fontId="17" fillId="0" borderId="69" xfId="2" applyNumberFormat="1" applyFont="1" applyFill="1" applyBorder="1" applyAlignment="1">
      <alignment horizontal="right"/>
    </xf>
    <xf numFmtId="0" fontId="8" fillId="0" borderId="83" xfId="0" applyNumberFormat="1" applyFont="1" applyFill="1" applyBorder="1" applyAlignment="1" applyProtection="1">
      <alignment vertical="top"/>
    </xf>
    <xf numFmtId="0" fontId="10" fillId="0" borderId="83" xfId="3" applyFont="1" applyFill="1" applyBorder="1" applyAlignment="1"/>
    <xf numFmtId="3" fontId="20" fillId="0" borderId="83" xfId="1" applyNumberFormat="1" applyFont="1" applyBorder="1"/>
    <xf numFmtId="41" fontId="20" fillId="0" borderId="32" xfId="2" applyFont="1" applyBorder="1"/>
    <xf numFmtId="0" fontId="12" fillId="0" borderId="84" xfId="3" applyFont="1" applyFill="1" applyBorder="1" applyAlignment="1">
      <alignment horizontal="center" vertical="center" wrapText="1"/>
    </xf>
    <xf numFmtId="41" fontId="36" fillId="0" borderId="53" xfId="2" applyFont="1" applyFill="1" applyBorder="1" applyAlignment="1" applyProtection="1">
      <alignment horizontal="right" vertical="top"/>
    </xf>
    <xf numFmtId="0" fontId="8" fillId="0" borderId="85" xfId="0" applyNumberFormat="1" applyFont="1" applyFill="1" applyBorder="1" applyAlignment="1" applyProtection="1">
      <alignment horizontal="center" vertical="top"/>
    </xf>
    <xf numFmtId="0" fontId="8" fillId="0" borderId="30" xfId="0" applyNumberFormat="1" applyFont="1" applyFill="1" applyBorder="1" applyAlignment="1" applyProtection="1">
      <alignment horizontal="center" vertical="top"/>
    </xf>
    <xf numFmtId="0" fontId="8" fillId="0" borderId="57" xfId="0" applyNumberFormat="1" applyFont="1" applyFill="1" applyBorder="1" applyAlignment="1" applyProtection="1">
      <alignment horizontal="center" vertical="top"/>
    </xf>
    <xf numFmtId="41" fontId="17" fillId="8" borderId="57" xfId="2" applyFont="1" applyFill="1" applyBorder="1" applyAlignment="1" applyProtection="1">
      <alignment vertical="top"/>
    </xf>
    <xf numFmtId="167" fontId="27" fillId="0" borderId="47" xfId="1" applyNumberFormat="1" applyFont="1" applyFill="1" applyBorder="1" applyAlignment="1" applyProtection="1">
      <alignment horizontal="right" vertical="top"/>
    </xf>
    <xf numFmtId="41" fontId="17" fillId="8" borderId="48" xfId="2" applyFont="1" applyFill="1" applyBorder="1" applyAlignment="1" applyProtection="1">
      <alignment horizontal="right" vertical="top"/>
    </xf>
    <xf numFmtId="41" fontId="17" fillId="9" borderId="48" xfId="2" applyFont="1" applyFill="1" applyBorder="1" applyAlignment="1" applyProtection="1">
      <alignment horizontal="right" vertical="top"/>
    </xf>
    <xf numFmtId="41" fontId="15" fillId="10" borderId="48" xfId="2" applyFont="1" applyFill="1" applyBorder="1"/>
    <xf numFmtId="41" fontId="17" fillId="11" borderId="86" xfId="2" applyFont="1" applyFill="1" applyBorder="1"/>
    <xf numFmtId="0" fontId="8" fillId="0" borderId="87" xfId="0" applyNumberFormat="1" applyFont="1" applyFill="1" applyBorder="1" applyAlignment="1" applyProtection="1">
      <alignment horizontal="center" vertical="top"/>
    </xf>
    <xf numFmtId="0" fontId="8" fillId="0" borderId="10" xfId="0" applyNumberFormat="1" applyFont="1" applyFill="1" applyBorder="1" applyAlignment="1" applyProtection="1">
      <alignment horizontal="center" vertical="top"/>
    </xf>
    <xf numFmtId="0" fontId="8" fillId="0" borderId="42" xfId="0" applyNumberFormat="1" applyFont="1" applyFill="1" applyBorder="1" applyAlignment="1" applyProtection="1">
      <alignment horizontal="center" vertical="top"/>
    </xf>
    <xf numFmtId="0" fontId="16" fillId="0" borderId="67" xfId="3" applyFont="1" applyFill="1" applyBorder="1" applyAlignment="1"/>
    <xf numFmtId="0" fontId="16" fillId="0" borderId="73" xfId="3" applyFont="1" applyFill="1" applyBorder="1" applyAlignment="1"/>
    <xf numFmtId="167" fontId="27" fillId="0" borderId="16" xfId="1" applyNumberFormat="1" applyFont="1" applyFill="1" applyBorder="1" applyAlignment="1" applyProtection="1">
      <alignment horizontal="center" vertical="top"/>
    </xf>
    <xf numFmtId="169" fontId="17" fillId="0" borderId="22" xfId="2" applyNumberFormat="1" applyFont="1" applyFill="1" applyBorder="1" applyAlignment="1">
      <alignment horizontal="right"/>
    </xf>
    <xf numFmtId="41" fontId="27" fillId="7" borderId="16" xfId="2" applyFont="1" applyFill="1" applyBorder="1" applyAlignment="1" applyProtection="1">
      <alignment vertical="top"/>
    </xf>
    <xf numFmtId="41" fontId="27" fillId="7" borderId="84" xfId="2" applyFont="1" applyFill="1" applyBorder="1" applyAlignment="1" applyProtection="1">
      <alignment vertical="top"/>
    </xf>
    <xf numFmtId="0" fontId="8" fillId="0" borderId="88" xfId="0" applyNumberFormat="1" applyFont="1" applyFill="1" applyBorder="1" applyAlignment="1" applyProtection="1">
      <alignment horizontal="center" vertical="top"/>
    </xf>
    <xf numFmtId="0" fontId="8" fillId="0" borderId="77" xfId="0" applyNumberFormat="1" applyFont="1" applyFill="1" applyBorder="1" applyAlignment="1" applyProtection="1">
      <alignment horizontal="center" vertical="top"/>
    </xf>
    <xf numFmtId="0" fontId="8" fillId="0" borderId="77" xfId="0" applyNumberFormat="1" applyFont="1" applyFill="1" applyBorder="1" applyAlignment="1" applyProtection="1">
      <alignment vertical="top"/>
    </xf>
    <xf numFmtId="0" fontId="16" fillId="0" borderId="77" xfId="3" applyFont="1" applyFill="1" applyBorder="1" applyAlignment="1"/>
    <xf numFmtId="167" fontId="27" fillId="0" borderId="89" xfId="1" applyNumberFormat="1" applyFont="1" applyFill="1" applyBorder="1" applyAlignment="1" applyProtection="1">
      <alignment horizontal="center" vertical="top"/>
    </xf>
    <xf numFmtId="169" fontId="17" fillId="0" borderId="89" xfId="2" applyNumberFormat="1" applyFont="1" applyFill="1" applyBorder="1" applyAlignment="1">
      <alignment horizontal="right"/>
    </xf>
    <xf numFmtId="41" fontId="27" fillId="7" borderId="89" xfId="2" applyFont="1" applyFill="1" applyBorder="1" applyAlignment="1" applyProtection="1">
      <alignment vertical="top"/>
    </xf>
    <xf numFmtId="41" fontId="27" fillId="7" borderId="90" xfId="2" applyFont="1" applyFill="1" applyBorder="1" applyAlignment="1" applyProtection="1">
      <alignment vertical="top"/>
    </xf>
    <xf numFmtId="166" fontId="23" fillId="0" borderId="32" xfId="2" applyNumberFormat="1" applyFont="1" applyBorder="1"/>
    <xf numFmtId="169" fontId="17" fillId="0" borderId="83" xfId="2" applyNumberFormat="1" applyFont="1" applyFill="1" applyBorder="1" applyAlignment="1">
      <alignment horizontal="right"/>
    </xf>
    <xf numFmtId="166" fontId="23" fillId="0" borderId="16" xfId="2" applyNumberFormat="1" applyFont="1" applyBorder="1"/>
    <xf numFmtId="41" fontId="20" fillId="0" borderId="92" xfId="2" applyFont="1" applyBorder="1"/>
    <xf numFmtId="169" fontId="17" fillId="0" borderId="91" xfId="2" applyNumberFormat="1" applyFont="1" applyFill="1" applyBorder="1" applyAlignment="1">
      <alignment horizontal="right"/>
    </xf>
    <xf numFmtId="169" fontId="17" fillId="0" borderId="92" xfId="2" applyNumberFormat="1" applyFont="1" applyFill="1" applyBorder="1" applyAlignment="1">
      <alignment horizontal="right"/>
    </xf>
    <xf numFmtId="41" fontId="20" fillId="0" borderId="94" xfId="2" applyFont="1" applyBorder="1"/>
    <xf numFmtId="41" fontId="8" fillId="0" borderId="94" xfId="2" applyFont="1" applyFill="1" applyBorder="1" applyAlignment="1"/>
    <xf numFmtId="0" fontId="8" fillId="0" borderId="33" xfId="0" applyNumberFormat="1" applyFont="1" applyFill="1" applyBorder="1" applyAlignment="1" applyProtection="1">
      <alignment horizontal="center" vertical="top"/>
    </xf>
    <xf numFmtId="3" fontId="20" fillId="0" borderId="25" xfId="1" applyNumberFormat="1" applyFont="1" applyBorder="1"/>
    <xf numFmtId="41" fontId="20" fillId="0" borderId="51" xfId="2" applyFont="1" applyBorder="1"/>
    <xf numFmtId="0" fontId="0" fillId="0" borderId="0" xfId="0" applyBorder="1" applyAlignment="1">
      <alignment horizontal="center" vertical="center"/>
    </xf>
    <xf numFmtId="166" fontId="23" fillId="0" borderId="0" xfId="2" applyNumberFormat="1" applyFont="1" applyBorder="1"/>
    <xf numFmtId="166" fontId="23" fillId="0" borderId="21" xfId="2" applyNumberFormat="1" applyFont="1" applyBorder="1"/>
    <xf numFmtId="0" fontId="20" fillId="0" borderId="0" xfId="0" quotePrefix="1" applyFont="1" applyBorder="1"/>
    <xf numFmtId="37" fontId="20" fillId="0" borderId="32" xfId="2" applyNumberFormat="1" applyFont="1" applyBorder="1"/>
    <xf numFmtId="0" fontId="0" fillId="0" borderId="32" xfId="0" applyBorder="1"/>
    <xf numFmtId="0" fontId="40" fillId="0" borderId="0" xfId="0" applyFont="1"/>
    <xf numFmtId="167" fontId="40" fillId="0" borderId="0" xfId="1" applyNumberFormat="1" applyFont="1"/>
    <xf numFmtId="41" fontId="40" fillId="0" borderId="0" xfId="2" applyFont="1"/>
    <xf numFmtId="0" fontId="8" fillId="0" borderId="33" xfId="0" quotePrefix="1" applyNumberFormat="1" applyFont="1" applyFill="1" applyBorder="1" applyAlignment="1" applyProtection="1">
      <alignment horizontal="left" vertical="top"/>
    </xf>
    <xf numFmtId="0" fontId="8" fillId="0" borderId="50" xfId="0" applyNumberFormat="1" applyFont="1" applyFill="1" applyBorder="1" applyAlignment="1" applyProtection="1">
      <alignment horizontal="center" vertical="top"/>
    </xf>
    <xf numFmtId="0" fontId="8" fillId="0" borderId="28" xfId="0" applyNumberFormat="1" applyFont="1" applyFill="1" applyBorder="1" applyAlignment="1" applyProtection="1">
      <alignment horizontal="center" vertical="top"/>
    </xf>
    <xf numFmtId="0" fontId="8" fillId="0" borderId="27" xfId="0" quotePrefix="1" applyNumberFormat="1" applyFont="1" applyFill="1" applyBorder="1" applyAlignment="1" applyProtection="1">
      <alignment horizontal="left" vertical="top"/>
    </xf>
    <xf numFmtId="0" fontId="10" fillId="0" borderId="48" xfId="0" applyNumberFormat="1" applyFont="1" applyFill="1" applyBorder="1" applyAlignment="1" applyProtection="1">
      <alignment horizontal="left" vertical="top"/>
    </xf>
    <xf numFmtId="167" fontId="8" fillId="0" borderId="47" xfId="1" applyNumberFormat="1" applyFont="1" applyFill="1" applyBorder="1" applyAlignment="1" applyProtection="1">
      <alignment horizontal="right" vertical="top"/>
    </xf>
    <xf numFmtId="166" fontId="15" fillId="3" borderId="33" xfId="2" applyNumberFormat="1" applyFont="1" applyFill="1" applyBorder="1" applyAlignment="1">
      <alignment horizontal="right"/>
    </xf>
    <xf numFmtId="41" fontId="15" fillId="0" borderId="47" xfId="2" applyFont="1" applyFill="1" applyBorder="1" applyAlignment="1" applyProtection="1">
      <alignment horizontal="right" vertical="top"/>
    </xf>
    <xf numFmtId="41" fontId="17" fillId="0" borderId="47" xfId="2" applyFont="1" applyFill="1" applyBorder="1" applyAlignment="1" applyProtection="1">
      <alignment horizontal="right" vertical="top"/>
    </xf>
    <xf numFmtId="41" fontId="17" fillId="2" borderId="33" xfId="2" applyFont="1" applyFill="1" applyBorder="1" applyAlignment="1"/>
    <xf numFmtId="41" fontId="17" fillId="0" borderId="49" xfId="2" applyFont="1" applyFill="1" applyBorder="1"/>
    <xf numFmtId="0" fontId="10" fillId="0" borderId="28" xfId="0" applyNumberFormat="1" applyFont="1" applyFill="1" applyBorder="1" applyAlignment="1" applyProtection="1">
      <alignment horizontal="left" vertical="top"/>
    </xf>
    <xf numFmtId="167" fontId="8" fillId="0" borderId="51" xfId="1" applyNumberFormat="1" applyFont="1" applyFill="1" applyBorder="1" applyAlignment="1" applyProtection="1">
      <alignment horizontal="right" vertical="top"/>
    </xf>
    <xf numFmtId="41" fontId="17" fillId="0" borderId="51" xfId="2" applyFont="1" applyFill="1" applyBorder="1" applyAlignment="1" applyProtection="1">
      <alignment horizontal="right" vertical="top"/>
    </xf>
    <xf numFmtId="41" fontId="17" fillId="2" borderId="27" xfId="2" applyFont="1" applyFill="1" applyBorder="1" applyAlignment="1"/>
    <xf numFmtId="41" fontId="17" fillId="0" borderId="65" xfId="2" applyFont="1" applyFill="1" applyBorder="1"/>
    <xf numFmtId="3" fontId="37" fillId="0" borderId="13" xfId="3" applyNumberFormat="1" applyFont="1" applyFill="1" applyBorder="1" applyAlignment="1">
      <alignment horizontal="center" vertical="center"/>
    </xf>
    <xf numFmtId="3" fontId="37" fillId="0" borderId="0" xfId="3" applyNumberFormat="1" applyFont="1" applyFill="1" applyBorder="1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41" fontId="0" fillId="0" borderId="0" xfId="2" applyFont="1" applyBorder="1"/>
    <xf numFmtId="39" fontId="23" fillId="0" borderId="91" xfId="2" applyNumberFormat="1" applyFont="1" applyBorder="1"/>
    <xf numFmtId="166" fontId="23" fillId="0" borderId="94" xfId="2" applyNumberFormat="1" applyFont="1" applyBorder="1"/>
    <xf numFmtId="4" fontId="23" fillId="0" borderId="69" xfId="2" applyNumberFormat="1" applyFont="1" applyBorder="1"/>
    <xf numFmtId="0" fontId="0" fillId="0" borderId="0" xfId="0" applyFill="1" applyBorder="1"/>
    <xf numFmtId="0" fontId="0" fillId="0" borderId="0" xfId="0" applyAlignment="1">
      <alignment vertical="center"/>
    </xf>
    <xf numFmtId="169" fontId="17" fillId="0" borderId="108" xfId="2" applyNumberFormat="1" applyFont="1" applyFill="1" applyBorder="1" applyAlignment="1">
      <alignment horizontal="right"/>
    </xf>
    <xf numFmtId="166" fontId="23" fillId="0" borderId="109" xfId="2" applyNumberFormat="1" applyFont="1" applyBorder="1"/>
    <xf numFmtId="0" fontId="8" fillId="0" borderId="0" xfId="0" applyFont="1"/>
    <xf numFmtId="41" fontId="0" fillId="0" borderId="102" xfId="2" applyFont="1" applyBorder="1"/>
    <xf numFmtId="41" fontId="0" fillId="0" borderId="101" xfId="2" applyFont="1" applyBorder="1"/>
    <xf numFmtId="41" fontId="0" fillId="0" borderId="100" xfId="2" applyFont="1" applyBorder="1"/>
    <xf numFmtId="41" fontId="0" fillId="0" borderId="111" xfId="2" applyFont="1" applyBorder="1"/>
    <xf numFmtId="41" fontId="0" fillId="0" borderId="112" xfId="2" applyFont="1" applyBorder="1"/>
    <xf numFmtId="41" fontId="0" fillId="0" borderId="113" xfId="2" applyFont="1" applyBorder="1"/>
    <xf numFmtId="0" fontId="8" fillId="0" borderId="16" xfId="0" applyFont="1" applyBorder="1" applyAlignment="1">
      <alignment horizontal="center"/>
    </xf>
    <xf numFmtId="165" fontId="0" fillId="4" borderId="0" xfId="0" applyNumberFormat="1" applyFill="1"/>
    <xf numFmtId="41" fontId="0" fillId="4" borderId="0" xfId="2" applyFont="1" applyFill="1" applyBorder="1"/>
    <xf numFmtId="41" fontId="0" fillId="0" borderId="114" xfId="2" applyFont="1" applyBorder="1" applyAlignment="1">
      <alignment shrinkToFit="1"/>
    </xf>
    <xf numFmtId="41" fontId="0" fillId="0" borderId="0" xfId="2" applyFont="1" applyFill="1" applyBorder="1"/>
    <xf numFmtId="165" fontId="0" fillId="0" borderId="0" xfId="0" applyNumberFormat="1"/>
    <xf numFmtId="41" fontId="0" fillId="0" borderId="0" xfId="2" applyFont="1" applyBorder="1" applyAlignment="1"/>
    <xf numFmtId="41" fontId="0" fillId="0" borderId="0" xfId="2" applyFont="1" applyBorder="1" applyAlignment="1">
      <alignment shrinkToFit="1"/>
    </xf>
    <xf numFmtId="41" fontId="0" fillId="0" borderId="99" xfId="2" applyFont="1" applyBorder="1"/>
    <xf numFmtId="41" fontId="8" fillId="0" borderId="100" xfId="2" applyFont="1" applyBorder="1"/>
    <xf numFmtId="41" fontId="0" fillId="0" borderId="110" xfId="2" applyFont="1" applyBorder="1"/>
    <xf numFmtId="41" fontId="8" fillId="0" borderId="113" xfId="2" applyFont="1" applyBorder="1"/>
    <xf numFmtId="41" fontId="8" fillId="0" borderId="0" xfId="2" quotePrefix="1" applyFont="1"/>
    <xf numFmtId="41" fontId="0" fillId="0" borderId="0" xfId="2" applyFont="1" applyFill="1" applyBorder="1" applyAlignment="1">
      <alignment horizontal="center"/>
    </xf>
    <xf numFmtId="41" fontId="0" fillId="0" borderId="0" xfId="2" quotePrefix="1" applyFont="1"/>
    <xf numFmtId="165" fontId="0" fillId="0" borderId="0" xfId="0" applyNumberFormat="1" applyFill="1"/>
    <xf numFmtId="0" fontId="8" fillId="0" borderId="0" xfId="0" quotePrefix="1" applyNumberFormat="1" applyFont="1" applyFill="1" applyBorder="1" applyAlignment="1" applyProtection="1">
      <alignment vertical="top"/>
    </xf>
    <xf numFmtId="0" fontId="8" fillId="4" borderId="0" xfId="0" applyNumberFormat="1" applyFont="1" applyFill="1" applyBorder="1" applyAlignment="1" applyProtection="1">
      <alignment vertical="top"/>
    </xf>
    <xf numFmtId="41" fontId="0" fillId="4" borderId="0" xfId="2" applyFont="1" applyFill="1"/>
    <xf numFmtId="41" fontId="0" fillId="0" borderId="0" xfId="2" applyFont="1" applyFill="1"/>
    <xf numFmtId="165" fontId="8" fillId="0" borderId="0" xfId="1" applyNumberFormat="1" applyFont="1" applyFill="1" applyBorder="1" applyAlignment="1" applyProtection="1">
      <alignment horizontal="right" vertical="top"/>
    </xf>
    <xf numFmtId="0" fontId="8" fillId="0" borderId="0" xfId="0" quotePrefix="1" applyNumberFormat="1" applyFont="1" applyFill="1" applyBorder="1" applyAlignment="1" applyProtection="1">
      <alignment horizontal="right" vertical="top"/>
    </xf>
    <xf numFmtId="165" fontId="8" fillId="4" borderId="0" xfId="1" applyNumberFormat="1" applyFont="1" applyFill="1" applyBorder="1" applyAlignment="1" applyProtection="1">
      <alignment horizontal="right" vertical="top"/>
    </xf>
    <xf numFmtId="0" fontId="0" fillId="4" borderId="0" xfId="0" applyFill="1" applyBorder="1"/>
    <xf numFmtId="41" fontId="8" fillId="0" borderId="104" xfId="2" applyFont="1" applyBorder="1"/>
    <xf numFmtId="41" fontId="0" fillId="0" borderId="81" xfId="2" applyFont="1" applyBorder="1"/>
    <xf numFmtId="41" fontId="8" fillId="0" borderId="98" xfId="2" applyFont="1" applyBorder="1"/>
    <xf numFmtId="41" fontId="0" fillId="7" borderId="0" xfId="2" applyFont="1" applyFill="1" applyBorder="1"/>
    <xf numFmtId="0" fontId="8" fillId="7" borderId="0" xfId="0" applyNumberFormat="1" applyFont="1" applyFill="1" applyBorder="1" applyAlignment="1" applyProtection="1">
      <alignment vertical="top"/>
    </xf>
    <xf numFmtId="165" fontId="8" fillId="12" borderId="0" xfId="1" applyNumberFormat="1" applyFont="1" applyFill="1" applyBorder="1" applyAlignment="1" applyProtection="1">
      <alignment horizontal="right" vertical="top"/>
    </xf>
    <xf numFmtId="41" fontId="0" fillId="12" borderId="0" xfId="2" applyFont="1" applyFill="1" applyBorder="1"/>
    <xf numFmtId="0" fontId="8" fillId="12" borderId="0" xfId="0" applyNumberFormat="1" applyFont="1" applyFill="1" applyBorder="1" applyAlignment="1" applyProtection="1">
      <alignment vertical="top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3" fillId="0" borderId="0" xfId="0" applyFont="1" applyAlignment="1"/>
    <xf numFmtId="0" fontId="0" fillId="0" borderId="0" xfId="0" applyBorder="1" applyAlignment="1">
      <alignment vertical="center"/>
    </xf>
    <xf numFmtId="41" fontId="0" fillId="0" borderId="82" xfId="2" applyFont="1" applyBorder="1"/>
    <xf numFmtId="41" fontId="8" fillId="0" borderId="82" xfId="2" applyFont="1" applyBorder="1" applyAlignment="1">
      <alignment horizontal="right"/>
    </xf>
    <xf numFmtId="41" fontId="0" fillId="0" borderId="116" xfId="2" applyFont="1" applyBorder="1"/>
    <xf numFmtId="41" fontId="8" fillId="0" borderId="117" xfId="2" applyFont="1" applyBorder="1"/>
    <xf numFmtId="41" fontId="0" fillId="0" borderId="118" xfId="2" applyFont="1" applyBorder="1"/>
    <xf numFmtId="41" fontId="0" fillId="0" borderId="119" xfId="2" applyFont="1" applyBorder="1"/>
    <xf numFmtId="41" fontId="8" fillId="0" borderId="119" xfId="2" applyFont="1" applyBorder="1" applyAlignment="1">
      <alignment horizontal="right"/>
    </xf>
    <xf numFmtId="41" fontId="0" fillId="0" borderId="115" xfId="2" applyFont="1" applyBorder="1"/>
    <xf numFmtId="41" fontId="8" fillId="0" borderId="107" xfId="2" applyFont="1" applyBorder="1" applyAlignment="1">
      <alignment horizontal="right"/>
    </xf>
    <xf numFmtId="41" fontId="0" fillId="0" borderId="92" xfId="2" applyFont="1" applyBorder="1"/>
    <xf numFmtId="41" fontId="27" fillId="0" borderId="100" xfId="2" applyFont="1" applyBorder="1"/>
    <xf numFmtId="41" fontId="8" fillId="0" borderId="119" xfId="2" quotePrefix="1" applyFont="1" applyBorder="1" applyAlignment="1">
      <alignment horizontal="right"/>
    </xf>
    <xf numFmtId="41" fontId="8" fillId="0" borderId="107" xfId="2" quotePrefix="1" applyFont="1" applyBorder="1" applyAlignment="1">
      <alignment horizontal="right"/>
    </xf>
    <xf numFmtId="41" fontId="0" fillId="0" borderId="103" xfId="2" applyFont="1" applyBorder="1"/>
    <xf numFmtId="41" fontId="0" fillId="0" borderId="105" xfId="2" applyFont="1" applyBorder="1"/>
    <xf numFmtId="41" fontId="8" fillId="0" borderId="13" xfId="2" applyFont="1" applyBorder="1"/>
    <xf numFmtId="41" fontId="0" fillId="0" borderId="106" xfId="2" applyFont="1" applyBorder="1"/>
    <xf numFmtId="41" fontId="8" fillId="0" borderId="21" xfId="2" applyFont="1" applyBorder="1" applyAlignment="1">
      <alignment horizontal="right"/>
    </xf>
    <xf numFmtId="41" fontId="8" fillId="0" borderId="21" xfId="2" quotePrefix="1" applyFont="1" applyBorder="1" applyAlignment="1">
      <alignment horizontal="right"/>
    </xf>
    <xf numFmtId="41" fontId="0" fillId="0" borderId="32" xfId="2" applyFont="1" applyBorder="1"/>
    <xf numFmtId="41" fontId="0" fillId="0" borderId="93" xfId="2" applyFont="1" applyBorder="1"/>
    <xf numFmtId="41" fontId="0" fillId="0" borderId="111" xfId="2" quotePrefix="1" applyFont="1" applyBorder="1"/>
    <xf numFmtId="41" fontId="8" fillId="0" borderId="16" xfId="2" applyFont="1" applyBorder="1" applyAlignment="1">
      <alignment horizontal="center"/>
    </xf>
    <xf numFmtId="41" fontId="30" fillId="0" borderId="0" xfId="2" applyFont="1"/>
    <xf numFmtId="41" fontId="30" fillId="0" borderId="0" xfId="2" applyFont="1" applyBorder="1"/>
    <xf numFmtId="41" fontId="0" fillId="12" borderId="0" xfId="2" applyFont="1" applyFill="1"/>
    <xf numFmtId="41" fontId="8" fillId="4" borderId="0" xfId="2" applyFont="1" applyFill="1" applyBorder="1" applyAlignment="1" applyProtection="1">
      <alignment horizontal="right" vertical="top"/>
    </xf>
    <xf numFmtId="41" fontId="8" fillId="12" borderId="0" xfId="2" applyFont="1" applyFill="1" applyBorder="1" applyAlignment="1" applyProtection="1">
      <alignment horizontal="right" vertical="top"/>
    </xf>
    <xf numFmtId="41" fontId="0" fillId="7" borderId="0" xfId="2" applyFont="1" applyFill="1"/>
    <xf numFmtId="41" fontId="0" fillId="13" borderId="125" xfId="2" applyFont="1" applyFill="1" applyBorder="1"/>
    <xf numFmtId="41" fontId="0" fillId="13" borderId="126" xfId="2" applyFont="1" applyFill="1" applyBorder="1"/>
    <xf numFmtId="41" fontId="8" fillId="13" borderId="125" xfId="2" applyFont="1" applyFill="1" applyBorder="1"/>
    <xf numFmtId="41" fontId="0" fillId="13" borderId="127" xfId="2" applyFont="1" applyFill="1" applyBorder="1"/>
    <xf numFmtId="41" fontId="0" fillId="13" borderId="124" xfId="2" applyFont="1" applyFill="1" applyBorder="1"/>
    <xf numFmtId="41" fontId="8" fillId="0" borderId="111" xfId="2" applyFont="1" applyBorder="1"/>
    <xf numFmtId="41" fontId="8" fillId="0" borderId="0" xfId="2" applyFont="1" applyBorder="1" applyAlignment="1">
      <alignment horizontal="center"/>
    </xf>
    <xf numFmtId="41" fontId="0" fillId="13" borderId="0" xfId="2" applyFont="1" applyFill="1" applyBorder="1"/>
    <xf numFmtId="41" fontId="0" fillId="0" borderId="47" xfId="2" applyFont="1" applyBorder="1"/>
    <xf numFmtId="41" fontId="8" fillId="0" borderId="82" xfId="2" applyFont="1" applyBorder="1"/>
    <xf numFmtId="41" fontId="8" fillId="0" borderId="119" xfId="2" applyFont="1" applyBorder="1"/>
    <xf numFmtId="0" fontId="8" fillId="0" borderId="0" xfId="0" applyFont="1" applyBorder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/>
    </xf>
    <xf numFmtId="41" fontId="8" fillId="0" borderId="119" xfId="2" quotePrefix="1" applyFont="1" applyBorder="1" applyAlignment="1">
      <alignment horizontal="left"/>
    </xf>
    <xf numFmtId="41" fontId="0" fillId="13" borderId="121" xfId="2" applyFont="1" applyFill="1" applyBorder="1"/>
    <xf numFmtId="41" fontId="0" fillId="13" borderId="122" xfId="2" applyFont="1" applyFill="1" applyBorder="1"/>
    <xf numFmtId="41" fontId="0" fillId="13" borderId="123" xfId="2" applyFont="1" applyFill="1" applyBorder="1"/>
    <xf numFmtId="41" fontId="0" fillId="13" borderId="120" xfId="2" applyFont="1" applyFill="1" applyBorder="1"/>
    <xf numFmtId="0" fontId="44" fillId="0" borderId="0" xfId="0" applyFont="1" applyAlignment="1">
      <alignment horizontal="left"/>
    </xf>
    <xf numFmtId="41" fontId="8" fillId="0" borderId="27" xfId="2" applyFont="1" applyFill="1" applyBorder="1" applyAlignment="1" applyProtection="1">
      <alignment horizontal="right" vertical="top"/>
    </xf>
    <xf numFmtId="41" fontId="20" fillId="0" borderId="33" xfId="2" applyFont="1" applyBorder="1"/>
    <xf numFmtId="41" fontId="20" fillId="0" borderId="13" xfId="2" applyFont="1" applyBorder="1"/>
    <xf numFmtId="41" fontId="20" fillId="0" borderId="27" xfId="2" applyFont="1" applyBorder="1"/>
    <xf numFmtId="41" fontId="8" fillId="0" borderId="53" xfId="2" applyFont="1" applyFill="1" applyBorder="1" applyAlignment="1" applyProtection="1">
      <alignment horizontal="right" vertical="top"/>
    </xf>
    <xf numFmtId="41" fontId="8" fillId="0" borderId="115" xfId="2" applyFont="1" applyBorder="1"/>
    <xf numFmtId="41" fontId="8" fillId="0" borderId="111" xfId="2" quotePrefix="1" applyFont="1" applyBorder="1"/>
    <xf numFmtId="41" fontId="8" fillId="0" borderId="0" xfId="2" applyFont="1" applyFill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 vertical="top"/>
    </xf>
    <xf numFmtId="0" fontId="44" fillId="0" borderId="0" xfId="0" applyFont="1" applyAlignment="1">
      <alignment horizontal="center"/>
    </xf>
    <xf numFmtId="41" fontId="0" fillId="0" borderId="69" xfId="2" applyFont="1" applyBorder="1"/>
    <xf numFmtId="41" fontId="0" fillId="0" borderId="68" xfId="2" applyFont="1" applyBorder="1"/>
    <xf numFmtId="41" fontId="8" fillId="0" borderId="0" xfId="2" applyFont="1" applyBorder="1"/>
    <xf numFmtId="41" fontId="8" fillId="0" borderId="27" xfId="2" applyFont="1" applyFill="1" applyBorder="1" applyAlignment="1">
      <alignment horizontal="center"/>
    </xf>
    <xf numFmtId="41" fontId="8" fillId="0" borderId="53" xfId="2" applyFont="1" applyFill="1" applyBorder="1" applyAlignment="1">
      <alignment horizontal="center"/>
    </xf>
    <xf numFmtId="41" fontId="23" fillId="0" borderId="21" xfId="2" applyFont="1" applyBorder="1"/>
    <xf numFmtId="41" fontId="8" fillId="0" borderId="0" xfId="2" applyFont="1" applyFill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 vertical="top"/>
    </xf>
    <xf numFmtId="41" fontId="0" fillId="0" borderId="0" xfId="2" applyFont="1" applyBorder="1" applyAlignment="1">
      <alignment horizontal="center" vertical="center"/>
    </xf>
    <xf numFmtId="0" fontId="8" fillId="0" borderId="43" xfId="0" applyNumberFormat="1" applyFont="1" applyFill="1" applyBorder="1" applyAlignment="1" applyProtection="1">
      <alignment vertical="top"/>
    </xf>
    <xf numFmtId="3" fontId="20" fillId="0" borderId="44" xfId="1" applyNumberFormat="1" applyFont="1" applyBorder="1"/>
    <xf numFmtId="41" fontId="20" fillId="0" borderId="69" xfId="2" applyFont="1" applyBorder="1"/>
    <xf numFmtId="41" fontId="10" fillId="0" borderId="0" xfId="2" applyFont="1" applyFill="1" applyBorder="1" applyAlignment="1"/>
    <xf numFmtId="41" fontId="45" fillId="0" borderId="0" xfId="2" applyFont="1" applyFill="1" applyBorder="1" applyAlignment="1"/>
    <xf numFmtId="0" fontId="8" fillId="0" borderId="0" xfId="0" applyNumberFormat="1" applyFont="1" applyFill="1" applyBorder="1" applyAlignment="1" applyProtection="1">
      <alignment horizontal="right" vertical="top"/>
    </xf>
    <xf numFmtId="41" fontId="8" fillId="0" borderId="0" xfId="2" quotePrefix="1" applyFont="1" applyFill="1" applyBorder="1" applyAlignment="1">
      <alignment horizontal="center"/>
    </xf>
    <xf numFmtId="0" fontId="8" fillId="0" borderId="0" xfId="0" quotePrefix="1" applyFont="1" applyAlignment="1">
      <alignment horizontal="center"/>
    </xf>
    <xf numFmtId="41" fontId="8" fillId="0" borderId="75" xfId="2" applyFont="1" applyBorder="1" applyAlignment="1">
      <alignment horizontal="center"/>
    </xf>
    <xf numFmtId="0" fontId="8" fillId="0" borderId="0" xfId="0" quotePrefix="1" applyNumberFormat="1" applyFont="1" applyFill="1" applyBorder="1" applyAlignment="1" applyProtection="1">
      <alignment horizontal="left" vertical="top"/>
    </xf>
    <xf numFmtId="41" fontId="0" fillId="12" borderId="0" xfId="2" applyFont="1" applyFill="1" applyBorder="1" applyAlignment="1"/>
    <xf numFmtId="0" fontId="8" fillId="4" borderId="0" xfId="0" quotePrefix="1" applyNumberFormat="1" applyFont="1" applyFill="1" applyBorder="1" applyAlignment="1" applyProtection="1">
      <alignment horizontal="right" vertical="top"/>
    </xf>
    <xf numFmtId="41" fontId="8" fillId="0" borderId="0" xfId="2" quotePrefix="1" applyFont="1" applyBorder="1"/>
    <xf numFmtId="41" fontId="8" fillId="7" borderId="0" xfId="2" applyFont="1" applyFill="1" applyBorder="1" applyAlignment="1">
      <alignment horizontal="center"/>
    </xf>
    <xf numFmtId="41" fontId="8" fillId="0" borderId="0" xfId="2" quotePrefix="1" applyFont="1" applyBorder="1" applyAlignment="1">
      <alignment shrinkToFit="1"/>
    </xf>
    <xf numFmtId="41" fontId="8" fillId="0" borderId="0" xfId="2" applyFont="1" applyFill="1" applyBorder="1" applyAlignment="1">
      <alignment horizontal="center"/>
    </xf>
    <xf numFmtId="0" fontId="8" fillId="0" borderId="18" xfId="0" applyNumberFormat="1" applyFont="1" applyFill="1" applyBorder="1" applyAlignment="1" applyProtection="1">
      <alignment horizontal="left" vertical="top"/>
    </xf>
    <xf numFmtId="0" fontId="8" fillId="0" borderId="12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41" fontId="8" fillId="0" borderId="32" xfId="2" applyFont="1" applyBorder="1"/>
    <xf numFmtId="0" fontId="0" fillId="0" borderId="16" xfId="0" applyBorder="1"/>
    <xf numFmtId="41" fontId="8" fillId="0" borderId="69" xfId="2" applyFont="1" applyBorder="1"/>
    <xf numFmtId="41" fontId="20" fillId="0" borderId="18" xfId="2" applyFont="1" applyBorder="1"/>
    <xf numFmtId="41" fontId="20" fillId="0" borderId="23" xfId="2" applyFont="1" applyBorder="1"/>
    <xf numFmtId="41" fontId="20" fillId="0" borderId="48" xfId="2" applyFont="1" applyBorder="1"/>
    <xf numFmtId="41" fontId="20" fillId="0" borderId="21" xfId="2" applyFont="1" applyBorder="1"/>
    <xf numFmtId="41" fontId="20" fillId="0" borderId="28" xfId="2" applyFont="1" applyBorder="1"/>
    <xf numFmtId="41" fontId="23" fillId="0" borderId="27" xfId="2" applyFont="1" applyBorder="1"/>
    <xf numFmtId="41" fontId="8" fillId="0" borderId="53" xfId="2" applyFont="1" applyFill="1" applyBorder="1" applyAlignment="1"/>
    <xf numFmtId="41" fontId="0" fillId="0" borderId="43" xfId="2" applyFont="1" applyBorder="1"/>
    <xf numFmtId="41" fontId="0" fillId="0" borderId="47" xfId="0" applyNumberFormat="1" applyBorder="1"/>
    <xf numFmtId="39" fontId="20" fillId="0" borderId="16" xfId="1" applyNumberFormat="1" applyFont="1" applyBorder="1"/>
    <xf numFmtId="39" fontId="20" fillId="0" borderId="32" xfId="2" applyNumberFormat="1" applyFont="1" applyBorder="1"/>
    <xf numFmtId="0" fontId="0" fillId="0" borderId="0" xfId="0" quotePrefix="1"/>
    <xf numFmtId="37" fontId="20" fillId="0" borderId="91" xfId="2" applyNumberFormat="1" applyFont="1" applyBorder="1"/>
    <xf numFmtId="0" fontId="8" fillId="0" borderId="0" xfId="0" applyNumberFormat="1" applyFont="1" applyFill="1" applyBorder="1" applyAlignment="1" applyProtection="1">
      <alignment horizontal="center" vertical="top"/>
    </xf>
    <xf numFmtId="3" fontId="8" fillId="0" borderId="26" xfId="1" applyNumberFormat="1" applyFont="1" applyBorder="1"/>
    <xf numFmtId="3" fontId="8" fillId="0" borderId="26" xfId="1" applyNumberFormat="1" applyFont="1" applyBorder="1" applyProtection="1">
      <protection locked="0"/>
    </xf>
    <xf numFmtId="0" fontId="8" fillId="0" borderId="33" xfId="0" applyNumberFormat="1" applyFont="1" applyFill="1" applyBorder="1" applyAlignment="1" applyProtection="1">
      <alignment horizontal="left" vertical="top"/>
      <protection locked="0"/>
    </xf>
    <xf numFmtId="0" fontId="8" fillId="0" borderId="26" xfId="0" applyNumberFormat="1" applyFont="1" applyFill="1" applyBorder="1" applyAlignment="1" applyProtection="1">
      <alignment horizontal="center" vertical="top"/>
      <protection locked="0"/>
    </xf>
    <xf numFmtId="0" fontId="8" fillId="0" borderId="26" xfId="0" quotePrefix="1" applyNumberFormat="1" applyFont="1" applyFill="1" applyBorder="1" applyAlignment="1" applyProtection="1">
      <alignment horizontal="center" vertical="top"/>
      <protection locked="0"/>
    </xf>
    <xf numFmtId="0" fontId="20" fillId="0" borderId="26" xfId="0" applyFont="1" applyBorder="1" applyProtection="1">
      <protection locked="0"/>
    </xf>
    <xf numFmtId="0" fontId="8" fillId="0" borderId="33" xfId="0" applyNumberFormat="1" applyFont="1" applyFill="1" applyBorder="1" applyAlignment="1" applyProtection="1">
      <alignment vertical="top"/>
      <protection locked="0"/>
    </xf>
    <xf numFmtId="0" fontId="8" fillId="0" borderId="26" xfId="0" applyNumberFormat="1" applyFont="1" applyFill="1" applyBorder="1" applyAlignment="1" applyProtection="1">
      <alignment vertical="top"/>
      <protection locked="0"/>
    </xf>
    <xf numFmtId="0" fontId="10" fillId="0" borderId="26" xfId="3" applyFont="1" applyFill="1" applyBorder="1" applyAlignment="1" applyProtection="1">
      <protection locked="0"/>
    </xf>
    <xf numFmtId="43" fontId="40" fillId="0" borderId="0" xfId="0" applyNumberFormat="1" applyFont="1" applyBorder="1" applyAlignment="1">
      <alignment horizontal="centerContinuous"/>
    </xf>
    <xf numFmtId="0" fontId="40" fillId="0" borderId="0" xfId="0" applyFont="1" applyBorder="1" applyAlignment="1">
      <alignment vertical="center"/>
    </xf>
    <xf numFmtId="0" fontId="42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167" fontId="40" fillId="0" borderId="0" xfId="1" applyNumberFormat="1" applyFont="1" applyAlignment="1">
      <alignment horizontal="center" vertical="center"/>
    </xf>
    <xf numFmtId="41" fontId="40" fillId="0" borderId="0" xfId="2" applyFont="1" applyAlignment="1">
      <alignment vertical="center"/>
    </xf>
    <xf numFmtId="41" fontId="40" fillId="0" borderId="0" xfId="2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41" fontId="8" fillId="0" borderId="0" xfId="2" applyFont="1" applyAlignment="1">
      <alignment vertical="center"/>
    </xf>
    <xf numFmtId="41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0" fontId="40" fillId="0" borderId="128" xfId="0" applyFont="1" applyBorder="1" applyAlignment="1">
      <alignment horizontal="right" vertical="center"/>
    </xf>
    <xf numFmtId="0" fontId="40" fillId="0" borderId="130" xfId="0" applyFont="1" applyBorder="1" applyAlignment="1">
      <alignment vertical="center"/>
    </xf>
    <xf numFmtId="0" fontId="40" fillId="0" borderId="83" xfId="0" applyFont="1" applyBorder="1" applyAlignment="1">
      <alignment horizontal="left" vertical="center" wrapText="1"/>
    </xf>
    <xf numFmtId="167" fontId="40" fillId="0" borderId="128" xfId="1" applyNumberFormat="1" applyFont="1" applyBorder="1" applyAlignment="1">
      <alignment vertical="center"/>
    </xf>
    <xf numFmtId="167" fontId="40" fillId="0" borderId="130" xfId="1" applyNumberFormat="1" applyFont="1" applyBorder="1" applyAlignment="1">
      <alignment horizontal="center" vertical="center"/>
    </xf>
    <xf numFmtId="0" fontId="40" fillId="0" borderId="128" xfId="0" applyFont="1" applyFill="1" applyBorder="1" applyAlignment="1">
      <alignment vertical="center"/>
    </xf>
    <xf numFmtId="0" fontId="40" fillId="0" borderId="131" xfId="0" applyFont="1" applyBorder="1" applyAlignment="1">
      <alignment horizontal="right" vertical="center"/>
    </xf>
    <xf numFmtId="0" fontId="40" fillId="0" borderId="1" xfId="0" applyFont="1" applyBorder="1" applyAlignment="1">
      <alignment horizontal="right" vertical="center"/>
    </xf>
    <xf numFmtId="0" fontId="40" fillId="0" borderId="1" xfId="0" applyFont="1" applyBorder="1" applyAlignment="1">
      <alignment horizontal="center" vertical="center"/>
    </xf>
    <xf numFmtId="167" fontId="40" fillId="0" borderId="130" xfId="1" applyNumberFormat="1" applyFont="1" applyBorder="1" applyAlignment="1">
      <alignment vertical="center"/>
    </xf>
    <xf numFmtId="166" fontId="40" fillId="0" borderId="1" xfId="2" applyNumberFormat="1" applyFont="1" applyBorder="1" applyAlignment="1">
      <alignment vertical="center"/>
    </xf>
    <xf numFmtId="166" fontId="40" fillId="0" borderId="18" xfId="2" applyNumberFormat="1" applyFont="1" applyBorder="1" applyAlignment="1">
      <alignment vertical="center"/>
    </xf>
    <xf numFmtId="166" fontId="40" fillId="0" borderId="1" xfId="2" applyNumberFormat="1" applyFont="1" applyBorder="1" applyAlignment="1">
      <alignment horizontal="center" vertical="center"/>
    </xf>
    <xf numFmtId="166" fontId="40" fillId="0" borderId="18" xfId="2" applyNumberFormat="1" applyFont="1" applyBorder="1" applyAlignment="1">
      <alignment horizontal="center" vertical="center"/>
    </xf>
    <xf numFmtId="166" fontId="40" fillId="0" borderId="18" xfId="2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166" fontId="40" fillId="11" borderId="18" xfId="2" applyNumberFormat="1" applyFont="1" applyFill="1" applyBorder="1" applyAlignment="1">
      <alignment horizontal="center" vertical="center"/>
    </xf>
    <xf numFmtId="167" fontId="40" fillId="11" borderId="130" xfId="1" applyNumberFormat="1" applyFont="1" applyFill="1" applyBorder="1" applyAlignment="1">
      <alignment horizontal="center" vertical="center"/>
    </xf>
    <xf numFmtId="0" fontId="40" fillId="0" borderId="131" xfId="0" applyFont="1" applyBorder="1" applyAlignment="1">
      <alignment horizontal="center" vertical="center"/>
    </xf>
    <xf numFmtId="0" fontId="40" fillId="0" borderId="128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9" fillId="0" borderId="67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0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49" fillId="0" borderId="32" xfId="0" applyFont="1" applyBorder="1" applyAlignment="1">
      <alignment horizontal="center" vertical="center"/>
    </xf>
    <xf numFmtId="167" fontId="49" fillId="0" borderId="0" xfId="0" applyNumberFormat="1" applyFont="1" applyBorder="1" applyAlignment="1">
      <alignment vertical="center"/>
    </xf>
    <xf numFmtId="0" fontId="49" fillId="0" borderId="69" xfId="0" applyFont="1" applyBorder="1" applyAlignment="1">
      <alignment horizontal="center" vertical="center"/>
    </xf>
    <xf numFmtId="0" fontId="50" fillId="0" borderId="32" xfId="0" applyFont="1" applyBorder="1" applyAlignment="1">
      <alignment horizontal="center" vertical="center" wrapText="1"/>
    </xf>
    <xf numFmtId="0" fontId="50" fillId="0" borderId="13" xfId="0" applyFont="1" applyBorder="1" applyAlignment="1">
      <alignment horizontal="center" vertical="center" wrapText="1"/>
    </xf>
    <xf numFmtId="0" fontId="50" fillId="0" borderId="129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/>
    </xf>
    <xf numFmtId="41" fontId="10" fillId="0" borderId="0" xfId="0" applyNumberFormat="1" applyFont="1" applyAlignment="1">
      <alignment vertical="center"/>
    </xf>
    <xf numFmtId="0" fontId="40" fillId="0" borderId="53" xfId="2" applyNumberFormat="1" applyFont="1" applyBorder="1" applyAlignment="1">
      <alignment horizontal="center" vertical="center"/>
    </xf>
    <xf numFmtId="0" fontId="40" fillId="0" borderId="1" xfId="2" applyNumberFormat="1" applyFont="1" applyBorder="1" applyAlignment="1">
      <alignment horizontal="center" vertical="center"/>
    </xf>
    <xf numFmtId="0" fontId="40" fillId="0" borderId="128" xfId="0" applyNumberFormat="1" applyFont="1" applyFill="1" applyBorder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Border="1" applyAlignment="1">
      <alignment horizontal="left" vertical="center"/>
    </xf>
    <xf numFmtId="0" fontId="51" fillId="0" borderId="0" xfId="7" applyFont="1" applyFill="1" applyBorder="1" applyAlignment="1">
      <alignment horizontal="center" vertical="center"/>
    </xf>
    <xf numFmtId="0" fontId="54" fillId="0" borderId="0" xfId="7" applyFont="1" applyFill="1" applyBorder="1" applyAlignment="1">
      <alignment horizontal="center" vertical="center"/>
    </xf>
    <xf numFmtId="41" fontId="40" fillId="0" borderId="0" xfId="2" applyFont="1" applyAlignment="1">
      <alignment vertical="top"/>
    </xf>
    <xf numFmtId="41" fontId="40" fillId="0" borderId="0" xfId="2" applyFont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55" fillId="0" borderId="0" xfId="7" applyFont="1" applyFill="1" applyBorder="1" applyAlignment="1">
      <alignment horizontal="center"/>
    </xf>
    <xf numFmtId="0" fontId="7" fillId="0" borderId="0" xfId="8"/>
    <xf numFmtId="0" fontId="7" fillId="0" borderId="0" xfId="8" applyAlignment="1">
      <alignment horizontal="center"/>
    </xf>
    <xf numFmtId="0" fontId="7" fillId="0" borderId="0" xfId="8" quotePrefix="1" applyAlignment="1">
      <alignment vertical="top" wrapText="1"/>
    </xf>
    <xf numFmtId="0" fontId="7" fillId="0" borderId="0" xfId="8" applyAlignment="1">
      <alignment vertical="top" wrapText="1"/>
    </xf>
    <xf numFmtId="0" fontId="7" fillId="0" borderId="0" xfId="8" applyAlignment="1">
      <alignment vertical="top"/>
    </xf>
    <xf numFmtId="0" fontId="7" fillId="0" borderId="0" xfId="8" applyFont="1" applyFill="1" applyAlignment="1">
      <alignment vertical="top"/>
    </xf>
    <xf numFmtId="0" fontId="7" fillId="0" borderId="0" xfId="8" applyFont="1" applyFill="1" applyAlignment="1">
      <alignment vertical="top" wrapText="1"/>
    </xf>
    <xf numFmtId="0" fontId="7" fillId="0" borderId="0" xfId="8" quotePrefix="1" applyAlignment="1">
      <alignment horizontal="center" vertical="top"/>
    </xf>
    <xf numFmtId="0" fontId="7" fillId="0" borderId="0" xfId="8" applyFont="1" applyAlignment="1">
      <alignment horizontal="center" vertical="center"/>
    </xf>
    <xf numFmtId="0" fontId="7" fillId="0" borderId="0" xfId="8" quotePrefix="1" applyFill="1" applyAlignment="1">
      <alignment horizontal="center" vertical="top"/>
    </xf>
    <xf numFmtId="0" fontId="7" fillId="0" borderId="0" xfId="8" applyFont="1"/>
    <xf numFmtId="0" fontId="7" fillId="0" borderId="0" xfId="8" applyFont="1" applyAlignment="1">
      <alignment horizontal="center"/>
    </xf>
    <xf numFmtId="0" fontId="57" fillId="0" borderId="0" xfId="8" applyFont="1"/>
    <xf numFmtId="0" fontId="57" fillId="0" borderId="0" xfId="8" applyFont="1" applyAlignment="1">
      <alignment horizontal="center"/>
    </xf>
    <xf numFmtId="0" fontId="6" fillId="0" borderId="0" xfId="8" applyFont="1"/>
    <xf numFmtId="167" fontId="56" fillId="0" borderId="0" xfId="1" applyNumberFormat="1" applyFont="1"/>
    <xf numFmtId="0" fontId="6" fillId="0" borderId="0" xfId="8" applyFont="1" applyAlignment="1">
      <alignment horizontal="center" vertical="center"/>
    </xf>
    <xf numFmtId="0" fontId="56" fillId="0" borderId="0" xfId="8" applyFont="1"/>
    <xf numFmtId="167" fontId="56" fillId="0" borderId="0" xfId="8" applyNumberFormat="1" applyFont="1"/>
    <xf numFmtId="0" fontId="65" fillId="0" borderId="0" xfId="8" applyFont="1"/>
    <xf numFmtId="0" fontId="57" fillId="0" borderId="0" xfId="8" applyFont="1" applyAlignment="1">
      <alignment horizontal="center"/>
    </xf>
    <xf numFmtId="0" fontId="4" fillId="0" borderId="0" xfId="8" applyFont="1" applyAlignment="1">
      <alignment horizontal="center"/>
    </xf>
    <xf numFmtId="0" fontId="57" fillId="0" borderId="129" xfId="8" applyFont="1" applyBorder="1" applyAlignment="1">
      <alignment horizontal="center" vertical="center"/>
    </xf>
    <xf numFmtId="0" fontId="6" fillId="0" borderId="131" xfId="8" applyFont="1" applyBorder="1" applyAlignment="1">
      <alignment horizontal="center" vertical="center"/>
    </xf>
    <xf numFmtId="0" fontId="7" fillId="0" borderId="131" xfId="8" applyFont="1" applyBorder="1" applyAlignment="1">
      <alignment horizontal="center" vertical="center"/>
    </xf>
    <xf numFmtId="0" fontId="5" fillId="0" borderId="131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5" fillId="0" borderId="1" xfId="8" applyFont="1" applyBorder="1" applyAlignment="1">
      <alignment horizontal="center" vertical="center"/>
    </xf>
    <xf numFmtId="0" fontId="6" fillId="0" borderId="1" xfId="8" quotePrefix="1" applyFont="1" applyBorder="1" applyAlignment="1">
      <alignment horizontal="center" vertical="center"/>
    </xf>
    <xf numFmtId="0" fontId="7" fillId="0" borderId="1" xfId="8" applyBorder="1" applyAlignment="1">
      <alignment horizontal="center" vertical="center"/>
    </xf>
    <xf numFmtId="0" fontId="6" fillId="0" borderId="1" xfId="8" applyFont="1" applyFill="1" applyBorder="1" applyAlignment="1">
      <alignment horizontal="center" vertical="top"/>
    </xf>
    <xf numFmtId="0" fontId="7" fillId="0" borderId="1" xfId="8" applyFont="1" applyFill="1" applyBorder="1" applyAlignment="1">
      <alignment vertical="top"/>
    </xf>
    <xf numFmtId="0" fontId="7" fillId="0" borderId="1" xfId="8" applyFont="1" applyFill="1" applyBorder="1" applyAlignment="1">
      <alignment horizontal="center" vertical="top"/>
    </xf>
    <xf numFmtId="0" fontId="4" fillId="0" borderId="1" xfId="8" applyFont="1" applyFill="1" applyBorder="1" applyAlignment="1">
      <alignment horizontal="center" vertical="top"/>
    </xf>
    <xf numFmtId="0" fontId="7" fillId="0" borderId="1" xfId="8" applyBorder="1" applyAlignment="1">
      <alignment horizontal="center" vertical="top"/>
    </xf>
    <xf numFmtId="0" fontId="6" fillId="0" borderId="1" xfId="8" applyFont="1" applyBorder="1" applyAlignment="1">
      <alignment horizontal="center" vertical="top"/>
    </xf>
    <xf numFmtId="0" fontId="7" fillId="0" borderId="1" xfId="8" applyBorder="1" applyAlignment="1">
      <alignment vertical="top"/>
    </xf>
    <xf numFmtId="0" fontId="6" fillId="0" borderId="1" xfId="8" applyFont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0" borderId="1" xfId="8" applyBorder="1"/>
    <xf numFmtId="0" fontId="7" fillId="0" borderId="1" xfId="8" applyBorder="1" applyAlignment="1">
      <alignment wrapText="1"/>
    </xf>
    <xf numFmtId="0" fontId="6" fillId="0" borderId="1" xfId="8" applyFont="1" applyBorder="1"/>
    <xf numFmtId="0" fontId="4" fillId="0" borderId="1" xfId="8" applyFont="1" applyBorder="1" applyAlignment="1">
      <alignment horizontal="center"/>
    </xf>
    <xf numFmtId="0" fontId="4" fillId="0" borderId="1" xfId="8" applyFont="1" applyBorder="1"/>
    <xf numFmtId="0" fontId="62" fillId="0" borderId="1" xfId="8" applyFont="1" applyBorder="1"/>
    <xf numFmtId="0" fontId="62" fillId="0" borderId="1" xfId="8" applyFont="1" applyBorder="1" applyAlignment="1">
      <alignment horizontal="center"/>
    </xf>
    <xf numFmtId="0" fontId="56" fillId="0" borderId="1" xfId="8" applyFont="1" applyBorder="1"/>
    <xf numFmtId="0" fontId="56" fillId="0" borderId="1" xfId="8" applyFont="1" applyBorder="1" applyAlignment="1">
      <alignment horizontal="center"/>
    </xf>
    <xf numFmtId="0" fontId="4" fillId="0" borderId="1" xfId="8" applyFont="1" applyBorder="1" applyAlignment="1">
      <alignment horizontal="center" vertical="center"/>
    </xf>
    <xf numFmtId="0" fontId="6" fillId="0" borderId="128" xfId="8" applyFont="1" applyBorder="1"/>
    <xf numFmtId="0" fontId="7" fillId="0" borderId="128" xfId="8" applyBorder="1"/>
    <xf numFmtId="0" fontId="7" fillId="0" borderId="128" xfId="8" applyFont="1" applyBorder="1" applyAlignment="1">
      <alignment horizontal="center" vertical="center"/>
    </xf>
    <xf numFmtId="0" fontId="4" fillId="0" borderId="128" xfId="8" applyFont="1" applyBorder="1" applyAlignment="1">
      <alignment horizontal="center" vertical="center"/>
    </xf>
    <xf numFmtId="0" fontId="6" fillId="0" borderId="47" xfId="8" applyFont="1" applyBorder="1" applyAlignment="1">
      <alignment horizontal="center" vertical="center"/>
    </xf>
    <xf numFmtId="0" fontId="7" fillId="0" borderId="47" xfId="8" applyFont="1" applyBorder="1" applyAlignment="1">
      <alignment horizontal="center" vertical="center"/>
    </xf>
    <xf numFmtId="0" fontId="6" fillId="0" borderId="51" xfId="8" applyFont="1" applyBorder="1" applyAlignment="1">
      <alignment horizontal="center" vertical="center"/>
    </xf>
    <xf numFmtId="0" fontId="7" fillId="0" borderId="51" xfId="8" applyFont="1" applyBorder="1" applyAlignment="1">
      <alignment horizontal="center" vertical="center"/>
    </xf>
    <xf numFmtId="0" fontId="6" fillId="0" borderId="128" xfId="8" applyFont="1" applyBorder="1" applyAlignment="1">
      <alignment horizontal="center" vertical="center"/>
    </xf>
    <xf numFmtId="0" fontId="7" fillId="0" borderId="51" xfId="8" applyBorder="1" applyAlignment="1">
      <alignment horizontal="center" vertical="center"/>
    </xf>
    <xf numFmtId="0" fontId="6" fillId="0" borderId="51" xfId="8" applyFont="1" applyFill="1" applyBorder="1" applyAlignment="1">
      <alignment horizontal="center" vertical="top"/>
    </xf>
    <xf numFmtId="0" fontId="7" fillId="0" borderId="51" xfId="8" applyFont="1" applyFill="1" applyBorder="1" applyAlignment="1">
      <alignment vertical="top"/>
    </xf>
    <xf numFmtId="0" fontId="7" fillId="0" borderId="51" xfId="8" applyFont="1" applyFill="1" applyBorder="1" applyAlignment="1">
      <alignment horizontal="center" vertical="top"/>
    </xf>
    <xf numFmtId="0" fontId="4" fillId="0" borderId="51" xfId="8" applyFont="1" applyFill="1" applyBorder="1" applyAlignment="1">
      <alignment horizontal="center" vertical="top"/>
    </xf>
    <xf numFmtId="0" fontId="7" fillId="0" borderId="131" xfId="8" applyBorder="1" applyAlignment="1">
      <alignment horizontal="center" vertical="center"/>
    </xf>
    <xf numFmtId="0" fontId="6" fillId="0" borderId="47" xfId="8" applyFont="1" applyBorder="1" applyAlignment="1">
      <alignment horizontal="center"/>
    </xf>
    <xf numFmtId="0" fontId="7" fillId="0" borderId="47" xfId="8" applyBorder="1" applyAlignment="1">
      <alignment horizontal="center"/>
    </xf>
    <xf numFmtId="0" fontId="7" fillId="0" borderId="47" xfId="8" applyBorder="1"/>
    <xf numFmtId="0" fontId="6" fillId="0" borderId="51" xfId="8" applyFont="1" applyBorder="1" applyAlignment="1">
      <alignment horizontal="center"/>
    </xf>
    <xf numFmtId="0" fontId="7" fillId="0" borderId="51" xfId="8" applyBorder="1"/>
    <xf numFmtId="0" fontId="7" fillId="0" borderId="51" xfId="8" applyBorder="1" applyAlignment="1">
      <alignment horizontal="center"/>
    </xf>
    <xf numFmtId="0" fontId="4" fillId="0" borderId="51" xfId="8" applyFont="1" applyBorder="1" applyAlignment="1">
      <alignment horizontal="center"/>
    </xf>
    <xf numFmtId="0" fontId="4" fillId="0" borderId="51" xfId="8" applyFont="1" applyBorder="1"/>
    <xf numFmtId="0" fontId="6" fillId="0" borderId="131" xfId="8" applyFont="1" applyBorder="1" applyAlignment="1">
      <alignment horizontal="center"/>
    </xf>
    <xf numFmtId="0" fontId="6" fillId="0" borderId="131" xfId="8" applyFont="1" applyBorder="1"/>
    <xf numFmtId="0" fontId="7" fillId="0" borderId="131" xfId="8" applyBorder="1"/>
    <xf numFmtId="0" fontId="7" fillId="0" borderId="131" xfId="8" applyBorder="1" applyAlignment="1">
      <alignment horizontal="center"/>
    </xf>
    <xf numFmtId="0" fontId="6" fillId="0" borderId="128" xfId="8" applyFont="1" applyBorder="1" applyAlignment="1">
      <alignment horizontal="center"/>
    </xf>
    <xf numFmtId="0" fontId="7" fillId="0" borderId="128" xfId="8" applyBorder="1" applyAlignment="1">
      <alignment horizontal="center"/>
    </xf>
    <xf numFmtId="0" fontId="6" fillId="0" borderId="51" xfId="8" applyFont="1" applyBorder="1"/>
    <xf numFmtId="0" fontId="62" fillId="0" borderId="131" xfId="8" applyFont="1" applyBorder="1"/>
    <xf numFmtId="0" fontId="62" fillId="0" borderId="131" xfId="8" applyFont="1" applyBorder="1" applyAlignment="1">
      <alignment horizontal="center"/>
    </xf>
    <xf numFmtId="0" fontId="4" fillId="0" borderId="47" xfId="8" applyFont="1" applyBorder="1"/>
    <xf numFmtId="0" fontId="4" fillId="0" borderId="131" xfId="8" applyFont="1" applyBorder="1" applyAlignment="1">
      <alignment horizontal="center"/>
    </xf>
    <xf numFmtId="0" fontId="4" fillId="0" borderId="131" xfId="8" applyFont="1" applyBorder="1"/>
    <xf numFmtId="0" fontId="6" fillId="0" borderId="47" xfId="8" applyFont="1" applyBorder="1"/>
    <xf numFmtId="0" fontId="7" fillId="0" borderId="133" xfId="8" applyFont="1" applyBorder="1" applyAlignment="1">
      <alignment horizontal="center" vertical="center"/>
    </xf>
    <xf numFmtId="0" fontId="7" fillId="0" borderId="134" xfId="8" applyFont="1" applyBorder="1" applyAlignment="1">
      <alignment horizontal="left" vertical="center"/>
    </xf>
    <xf numFmtId="0" fontId="7" fillId="0" borderId="18" xfId="8" applyFont="1" applyBorder="1" applyAlignment="1">
      <alignment horizontal="center" vertical="center"/>
    </xf>
    <xf numFmtId="0" fontId="7" fillId="0" borderId="23" xfId="8" applyFont="1" applyBorder="1" applyAlignment="1">
      <alignment horizontal="left" vertical="center"/>
    </xf>
    <xf numFmtId="0" fontId="7" fillId="0" borderId="33" xfId="8" applyFont="1" applyBorder="1" applyAlignment="1">
      <alignment horizontal="center" vertical="center"/>
    </xf>
    <xf numFmtId="0" fontId="7" fillId="0" borderId="48" xfId="8" applyFont="1" applyBorder="1" applyAlignment="1">
      <alignment horizontal="center" vertical="center"/>
    </xf>
    <xf numFmtId="0" fontId="7" fillId="0" borderId="130" xfId="8" applyFont="1" applyBorder="1" applyAlignment="1">
      <alignment horizontal="center" vertical="center"/>
    </xf>
    <xf numFmtId="0" fontId="7" fillId="0" borderId="135" xfId="8" applyFont="1" applyBorder="1" applyAlignment="1">
      <alignment horizontal="center" vertical="center"/>
    </xf>
    <xf numFmtId="0" fontId="7" fillId="0" borderId="27" xfId="8" applyFont="1" applyBorder="1" applyAlignment="1">
      <alignment horizontal="center" vertical="center"/>
    </xf>
    <xf numFmtId="0" fontId="7" fillId="0" borderId="28" xfId="8" applyFont="1" applyBorder="1" applyAlignment="1">
      <alignment horizontal="left" vertical="center"/>
    </xf>
    <xf numFmtId="0" fontId="56" fillId="0" borderId="133" xfId="8" applyFont="1" applyBorder="1" applyAlignment="1">
      <alignment horizontal="center" vertical="center"/>
    </xf>
    <xf numFmtId="0" fontId="6" fillId="0" borderId="134" xfId="8" applyFont="1" applyBorder="1" applyAlignment="1">
      <alignment horizontal="left" vertical="center"/>
    </xf>
    <xf numFmtId="0" fontId="56" fillId="0" borderId="18" xfId="8" applyFont="1" applyBorder="1" applyAlignment="1">
      <alignment horizontal="center" vertical="center"/>
    </xf>
    <xf numFmtId="0" fontId="6" fillId="0" borderId="23" xfId="8" applyFont="1" applyBorder="1" applyAlignment="1">
      <alignment horizontal="left" vertical="center"/>
    </xf>
    <xf numFmtId="0" fontId="7" fillId="0" borderId="28" xfId="8" applyBorder="1" applyAlignment="1">
      <alignment horizontal="left" vertical="center"/>
    </xf>
    <xf numFmtId="0" fontId="7" fillId="0" borderId="23" xfId="8" applyBorder="1" applyAlignment="1">
      <alignment horizontal="left" vertical="center"/>
    </xf>
    <xf numFmtId="0" fontId="7" fillId="0" borderId="134" xfId="8" applyBorder="1" applyAlignment="1">
      <alignment horizontal="left" vertical="center"/>
    </xf>
    <xf numFmtId="0" fontId="7" fillId="0" borderId="27" xfId="8" applyFont="1" applyFill="1" applyBorder="1" applyAlignment="1">
      <alignment horizontal="center" vertical="top"/>
    </xf>
    <xf numFmtId="0" fontId="7" fillId="0" borderId="18" xfId="8" applyFont="1" applyFill="1" applyBorder="1" applyAlignment="1">
      <alignment horizontal="center" vertical="top"/>
    </xf>
    <xf numFmtId="0" fontId="7" fillId="0" borderId="23" xfId="8" applyBorder="1" applyAlignment="1">
      <alignment horizontal="left" vertical="top"/>
    </xf>
    <xf numFmtId="0" fontId="7" fillId="0" borderId="18" xfId="8" applyBorder="1" applyAlignment="1">
      <alignment vertical="top"/>
    </xf>
    <xf numFmtId="0" fontId="7" fillId="0" borderId="18" xfId="8" applyBorder="1"/>
    <xf numFmtId="0" fontId="7" fillId="0" borderId="23" xfId="8" applyBorder="1"/>
    <xf numFmtId="0" fontId="7" fillId="0" borderId="23" xfId="8" quotePrefix="1" applyBorder="1"/>
    <xf numFmtId="0" fontId="7" fillId="0" borderId="33" xfId="8" applyBorder="1"/>
    <xf numFmtId="0" fontId="7" fillId="0" borderId="48" xfId="8" applyBorder="1"/>
    <xf numFmtId="0" fontId="7" fillId="0" borderId="133" xfId="8" applyBorder="1"/>
    <xf numFmtId="0" fontId="7" fillId="0" borderId="130" xfId="8" applyBorder="1"/>
    <xf numFmtId="0" fontId="7" fillId="0" borderId="135" xfId="8" applyBorder="1"/>
    <xf numFmtId="0" fontId="7" fillId="0" borderId="27" xfId="8" applyBorder="1"/>
    <xf numFmtId="0" fontId="6" fillId="0" borderId="28" xfId="8" applyFont="1" applyBorder="1" applyAlignment="1">
      <alignment horizontal="left" vertical="center"/>
    </xf>
    <xf numFmtId="0" fontId="56" fillId="0" borderId="133" xfId="8" applyFont="1" applyBorder="1"/>
    <xf numFmtId="0" fontId="56" fillId="0" borderId="18" xfId="8" applyFont="1" applyBorder="1"/>
    <xf numFmtId="0" fontId="7" fillId="0" borderId="135" xfId="8" applyFont="1" applyBorder="1" applyAlignment="1">
      <alignment horizontal="left" vertical="center"/>
    </xf>
    <xf numFmtId="0" fontId="7" fillId="0" borderId="133" xfId="8" applyFont="1" applyBorder="1" applyAlignment="1">
      <alignment horizontal="right" vertical="center"/>
    </xf>
    <xf numFmtId="0" fontId="7" fillId="0" borderId="134" xfId="8" applyFont="1" applyBorder="1" applyAlignment="1">
      <alignment horizontal="center" vertical="center"/>
    </xf>
    <xf numFmtId="0" fontId="7" fillId="0" borderId="18" xfId="8" applyFont="1" applyBorder="1" applyAlignment="1">
      <alignment horizontal="right" vertical="center"/>
    </xf>
    <xf numFmtId="0" fontId="7" fillId="0" borderId="23" xfId="8" applyFont="1" applyBorder="1" applyAlignment="1">
      <alignment horizontal="center" vertical="center"/>
    </xf>
    <xf numFmtId="0" fontId="7" fillId="0" borderId="27" xfId="8" applyFont="1" applyBorder="1" applyAlignment="1">
      <alignment horizontal="right" vertical="center"/>
    </xf>
    <xf numFmtId="0" fontId="7" fillId="0" borderId="28" xfId="8" applyFont="1" applyBorder="1" applyAlignment="1">
      <alignment horizontal="center" vertical="center"/>
    </xf>
    <xf numFmtId="0" fontId="6" fillId="0" borderId="133" xfId="8" applyFont="1" applyBorder="1" applyAlignment="1">
      <alignment horizontal="right" vertical="center"/>
    </xf>
    <xf numFmtId="0" fontId="6" fillId="0" borderId="134" xfId="8" applyFont="1" applyBorder="1" applyAlignment="1">
      <alignment horizontal="center" vertical="center"/>
    </xf>
    <xf numFmtId="0" fontId="6" fillId="0" borderId="18" xfId="8" applyFont="1" applyBorder="1" applyAlignment="1">
      <alignment horizontal="right" vertical="center"/>
    </xf>
    <xf numFmtId="0" fontId="6" fillId="0" borderId="23" xfId="8" applyFont="1" applyBorder="1" applyAlignment="1">
      <alignment horizontal="center" vertical="center"/>
    </xf>
    <xf numFmtId="0" fontId="7" fillId="0" borderId="28" xfId="8" applyBorder="1" applyAlignment="1">
      <alignment horizontal="center" vertical="center"/>
    </xf>
    <xf numFmtId="0" fontId="7" fillId="0" borderId="23" xfId="8" applyBorder="1" applyAlignment="1">
      <alignment horizontal="center" vertical="center"/>
    </xf>
    <xf numFmtId="0" fontId="7" fillId="0" borderId="134" xfId="8" applyBorder="1" applyAlignment="1">
      <alignment horizontal="center" vertical="center"/>
    </xf>
    <xf numFmtId="167" fontId="0" fillId="0" borderId="18" xfId="9" applyNumberFormat="1" applyFont="1" applyBorder="1" applyAlignment="1">
      <alignment horizontal="right" vertical="center"/>
    </xf>
    <xf numFmtId="0" fontId="7" fillId="0" borderId="18" xfId="8" applyFont="1" applyBorder="1" applyAlignment="1">
      <alignment horizontal="right" vertical="top"/>
    </xf>
    <xf numFmtId="0" fontId="7" fillId="0" borderId="23" xfId="8" applyBorder="1" applyAlignment="1">
      <alignment horizontal="center" vertical="top"/>
    </xf>
    <xf numFmtId="167" fontId="0" fillId="0" borderId="18" xfId="9" applyNumberFormat="1" applyFont="1" applyBorder="1" applyAlignment="1">
      <alignment horizontal="right" vertical="top"/>
    </xf>
    <xf numFmtId="0" fontId="7" fillId="0" borderId="23" xfId="8" applyBorder="1" applyAlignment="1">
      <alignment vertical="top"/>
    </xf>
    <xf numFmtId="0" fontId="6" fillId="0" borderId="27" xfId="8" applyFont="1" applyBorder="1" applyAlignment="1">
      <alignment horizontal="right" vertical="center"/>
    </xf>
    <xf numFmtId="0" fontId="6" fillId="0" borderId="28" xfId="8" applyFont="1" applyBorder="1" applyAlignment="1">
      <alignment horizontal="center" vertical="center"/>
    </xf>
    <xf numFmtId="0" fontId="7" fillId="0" borderId="130" xfId="8" applyFont="1" applyBorder="1" applyAlignment="1">
      <alignment horizontal="right" vertical="center"/>
    </xf>
    <xf numFmtId="0" fontId="7" fillId="0" borderId="133" xfId="8" applyFont="1" applyBorder="1" applyAlignment="1">
      <alignment horizontal="left" vertical="center"/>
    </xf>
    <xf numFmtId="0" fontId="7" fillId="0" borderId="27" xfId="8" applyFont="1" applyBorder="1" applyAlignment="1">
      <alignment horizontal="left" vertical="center"/>
    </xf>
    <xf numFmtId="0" fontId="6" fillId="0" borderId="133" xfId="8" applyFont="1" applyBorder="1" applyAlignment="1">
      <alignment horizontal="left" vertical="center"/>
    </xf>
    <xf numFmtId="0" fontId="7" fillId="0" borderId="27" xfId="8" applyBorder="1" applyAlignment="1">
      <alignment horizontal="left" vertical="center"/>
    </xf>
    <xf numFmtId="0" fontId="7" fillId="0" borderId="18" xfId="8" applyBorder="1" applyAlignment="1">
      <alignment horizontal="left" vertical="center"/>
    </xf>
    <xf numFmtId="0" fontId="7" fillId="0" borderId="133" xfId="8" applyBorder="1" applyAlignment="1">
      <alignment horizontal="left" vertical="center"/>
    </xf>
    <xf numFmtId="0" fontId="7" fillId="0" borderId="27" xfId="8" applyFont="1" applyFill="1" applyBorder="1" applyAlignment="1">
      <alignment vertical="top"/>
    </xf>
    <xf numFmtId="0" fontId="7" fillId="0" borderId="18" xfId="8" applyFont="1" applyFill="1" applyBorder="1" applyAlignment="1">
      <alignment vertical="top"/>
    </xf>
    <xf numFmtId="0" fontId="7" fillId="0" borderId="18" xfId="8" applyBorder="1" applyAlignment="1">
      <alignment horizontal="center" vertical="top"/>
    </xf>
    <xf numFmtId="0" fontId="7" fillId="0" borderId="18" xfId="8" applyBorder="1" applyAlignment="1">
      <alignment horizontal="center"/>
    </xf>
    <xf numFmtId="0" fontId="7" fillId="0" borderId="33" xfId="8" applyBorder="1" applyAlignment="1">
      <alignment horizontal="center"/>
    </xf>
    <xf numFmtId="0" fontId="6" fillId="0" borderId="133" xfId="8" applyFont="1" applyBorder="1"/>
    <xf numFmtId="0" fontId="7" fillId="0" borderId="130" xfId="8" applyBorder="1" applyAlignment="1">
      <alignment horizontal="center"/>
    </xf>
    <xf numFmtId="0" fontId="6" fillId="0" borderId="27" xfId="8" applyFont="1" applyBorder="1" applyAlignment="1">
      <alignment horizontal="left"/>
    </xf>
    <xf numFmtId="0" fontId="62" fillId="0" borderId="133" xfId="8" applyFont="1" applyBorder="1"/>
    <xf numFmtId="0" fontId="62" fillId="0" borderId="18" xfId="8" applyFont="1" applyBorder="1"/>
    <xf numFmtId="0" fontId="6" fillId="0" borderId="27" xfId="8" applyFont="1" applyBorder="1"/>
    <xf numFmtId="0" fontId="4" fillId="0" borderId="27" xfId="8" applyFont="1" applyBorder="1"/>
    <xf numFmtId="0" fontId="4" fillId="0" borderId="133" xfId="8" applyFont="1" applyBorder="1"/>
    <xf numFmtId="0" fontId="7" fillId="0" borderId="28" xfId="8" applyFont="1" applyFill="1" applyBorder="1" applyAlignment="1">
      <alignment vertical="top"/>
    </xf>
    <xf numFmtId="0" fontId="7" fillId="0" borderId="23" xfId="8" applyFont="1" applyFill="1" applyBorder="1" applyAlignment="1">
      <alignment vertical="top"/>
    </xf>
    <xf numFmtId="0" fontId="7" fillId="0" borderId="134" xfId="8" applyBorder="1"/>
    <xf numFmtId="0" fontId="7" fillId="0" borderId="28" xfId="8" applyBorder="1"/>
    <xf numFmtId="0" fontId="62" fillId="0" borderId="134" xfId="8" applyFont="1" applyBorder="1"/>
    <xf numFmtId="0" fontId="62" fillId="0" borderId="23" xfId="8" applyFont="1" applyBorder="1"/>
    <xf numFmtId="0" fontId="56" fillId="0" borderId="23" xfId="8" applyFont="1" applyBorder="1"/>
    <xf numFmtId="167" fontId="7" fillId="0" borderId="0" xfId="8" applyNumberFormat="1"/>
    <xf numFmtId="0" fontId="57" fillId="0" borderId="0" xfId="8" applyFont="1" applyAlignment="1">
      <alignment vertical="center"/>
    </xf>
    <xf numFmtId="0" fontId="6" fillId="0" borderId="9" xfId="8" applyFont="1" applyBorder="1"/>
    <xf numFmtId="0" fontId="7" fillId="0" borderId="42" xfId="8" applyBorder="1"/>
    <xf numFmtId="0" fontId="7" fillId="0" borderId="9" xfId="8" applyBorder="1"/>
    <xf numFmtId="0" fontId="7" fillId="0" borderId="10" xfId="8" applyBorder="1"/>
    <xf numFmtId="0" fontId="4" fillId="0" borderId="9" xfId="8" applyFont="1" applyBorder="1"/>
    <xf numFmtId="0" fontId="4" fillId="0" borderId="42" xfId="8" applyFont="1" applyBorder="1"/>
    <xf numFmtId="0" fontId="66" fillId="0" borderId="9" xfId="8" applyFont="1" applyBorder="1"/>
    <xf numFmtId="0" fontId="67" fillId="0" borderId="0" xfId="8" applyFont="1" applyAlignment="1"/>
    <xf numFmtId="0" fontId="6" fillId="0" borderId="48" xfId="8" applyFont="1" applyBorder="1" applyAlignment="1">
      <alignment horizontal="left" vertical="center"/>
    </xf>
    <xf numFmtId="0" fontId="6" fillId="0" borderId="33" xfId="8" applyFont="1" applyBorder="1" applyAlignment="1">
      <alignment horizontal="right" vertical="center"/>
    </xf>
    <xf numFmtId="0" fontId="6" fillId="0" borderId="48" xfId="8" applyFont="1" applyBorder="1" applyAlignment="1">
      <alignment horizontal="center" vertical="center"/>
    </xf>
    <xf numFmtId="0" fontId="7" fillId="0" borderId="48" xfId="8" applyFont="1" applyBorder="1" applyAlignment="1">
      <alignment horizontal="left" vertical="center"/>
    </xf>
    <xf numFmtId="0" fontId="7" fillId="0" borderId="33" xfId="8" applyFont="1" applyBorder="1" applyAlignment="1">
      <alignment horizontal="right" vertical="center"/>
    </xf>
    <xf numFmtId="0" fontId="4" fillId="0" borderId="47" xfId="8" applyFont="1" applyBorder="1" applyAlignment="1">
      <alignment horizontal="center" vertical="center"/>
    </xf>
    <xf numFmtId="0" fontId="7" fillId="0" borderId="23" xfId="8" applyBorder="1" applyAlignment="1">
      <alignment horizontal="left" vertical="top" wrapText="1"/>
    </xf>
    <xf numFmtId="0" fontId="57" fillId="0" borderId="129" xfId="8" applyFont="1" applyBorder="1" applyAlignment="1">
      <alignment horizontal="center" vertical="center"/>
    </xf>
    <xf numFmtId="0" fontId="57" fillId="0" borderId="9" xfId="8" applyFont="1" applyBorder="1"/>
    <xf numFmtId="0" fontId="57" fillId="0" borderId="10" xfId="8" applyFont="1" applyBorder="1"/>
    <xf numFmtId="0" fontId="57" fillId="0" borderId="42" xfId="8" applyFont="1" applyBorder="1"/>
    <xf numFmtId="0" fontId="3" fillId="0" borderId="0" xfId="8" applyFont="1" applyAlignment="1">
      <alignment horizontal="center"/>
    </xf>
    <xf numFmtId="0" fontId="2" fillId="0" borderId="0" xfId="8" applyFont="1"/>
    <xf numFmtId="0" fontId="2" fillId="0" borderId="0" xfId="8" applyFont="1" applyAlignment="1">
      <alignment horizontal="center" vertical="center"/>
    </xf>
    <xf numFmtId="167" fontId="2" fillId="0" borderId="131" xfId="1" applyNumberFormat="1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2" fillId="0" borderId="47" xfId="8" applyFont="1" applyBorder="1" applyAlignment="1">
      <alignment horizontal="center" vertical="center"/>
    </xf>
    <xf numFmtId="0" fontId="2" fillId="0" borderId="128" xfId="8" applyFont="1" applyBorder="1" applyAlignment="1">
      <alignment horizontal="center" vertical="center"/>
    </xf>
    <xf numFmtId="167" fontId="2" fillId="0" borderId="51" xfId="8" applyNumberFormat="1" applyFont="1" applyBorder="1" applyAlignment="1">
      <alignment horizontal="center" vertical="center"/>
    </xf>
    <xf numFmtId="0" fontId="2" fillId="0" borderId="1" xfId="8" applyFont="1" applyBorder="1"/>
    <xf numFmtId="167" fontId="2" fillId="0" borderId="131" xfId="8" applyNumberFormat="1" applyFont="1" applyBorder="1" applyAlignment="1">
      <alignment horizontal="center" vertical="center"/>
    </xf>
    <xf numFmtId="167" fontId="73" fillId="0" borderId="51" xfId="9" applyNumberFormat="1" applyFont="1" applyBorder="1" applyAlignment="1">
      <alignment horizontal="center" vertical="center"/>
    </xf>
    <xf numFmtId="167" fontId="73" fillId="0" borderId="131" xfId="9" applyNumberFormat="1" applyFont="1" applyBorder="1" applyAlignment="1">
      <alignment horizontal="center" vertical="center"/>
    </xf>
    <xf numFmtId="167" fontId="2" fillId="0" borderId="51" xfId="9" applyNumberFormat="1" applyFont="1" applyFill="1" applyBorder="1" applyAlignment="1">
      <alignment vertical="top"/>
    </xf>
    <xf numFmtId="167" fontId="2" fillId="0" borderId="1" xfId="9" applyNumberFormat="1" applyFont="1" applyFill="1" applyBorder="1" applyAlignment="1">
      <alignment vertical="top"/>
    </xf>
    <xf numFmtId="0" fontId="2" fillId="0" borderId="1" xfId="8" applyFont="1" applyBorder="1" applyAlignment="1">
      <alignment vertical="top"/>
    </xf>
    <xf numFmtId="0" fontId="2" fillId="0" borderId="47" xfId="8" applyFont="1" applyBorder="1"/>
    <xf numFmtId="167" fontId="2" fillId="0" borderId="131" xfId="1" applyNumberFormat="1" applyFont="1" applyBorder="1"/>
    <xf numFmtId="0" fontId="2" fillId="0" borderId="128" xfId="8" applyFont="1" applyBorder="1"/>
    <xf numFmtId="167" fontId="2" fillId="0" borderId="51" xfId="1" applyNumberFormat="1" applyFont="1" applyBorder="1"/>
    <xf numFmtId="167" fontId="74" fillId="0" borderId="131" xfId="9" applyNumberFormat="1" applyFont="1" applyBorder="1"/>
    <xf numFmtId="0" fontId="2" fillId="0" borderId="42" xfId="8" applyFont="1" applyBorder="1"/>
    <xf numFmtId="167" fontId="2" fillId="0" borderId="47" xfId="1" applyNumberFormat="1" applyFont="1" applyBorder="1" applyAlignment="1">
      <alignment horizontal="center" vertical="center"/>
    </xf>
    <xf numFmtId="167" fontId="2" fillId="0" borderId="51" xfId="1" applyNumberFormat="1" applyFont="1" applyBorder="1" applyAlignment="1">
      <alignment horizontal="center" vertical="center"/>
    </xf>
    <xf numFmtId="0" fontId="56" fillId="0" borderId="27" xfId="8" applyFont="1" applyBorder="1" applyAlignment="1">
      <alignment horizontal="center" vertical="center"/>
    </xf>
    <xf numFmtId="167" fontId="2" fillId="0" borderId="128" xfId="1" applyNumberFormat="1" applyFont="1" applyBorder="1" applyAlignment="1">
      <alignment horizontal="center" vertical="center"/>
    </xf>
    <xf numFmtId="0" fontId="56" fillId="0" borderId="130" xfId="8" applyFont="1" applyBorder="1" applyAlignment="1">
      <alignment horizontal="center" vertical="center"/>
    </xf>
    <xf numFmtId="0" fontId="6" fillId="0" borderId="135" xfId="8" applyFont="1" applyBorder="1" applyAlignment="1">
      <alignment horizontal="left" vertical="center"/>
    </xf>
    <xf numFmtId="0" fontId="6" fillId="0" borderId="130" xfId="8" applyFont="1" applyBorder="1" applyAlignment="1">
      <alignment horizontal="right" vertical="center"/>
    </xf>
    <xf numFmtId="0" fontId="6" fillId="0" borderId="135" xfId="8" applyFont="1" applyBorder="1" applyAlignment="1">
      <alignment horizontal="center" vertical="center"/>
    </xf>
    <xf numFmtId="167" fontId="2" fillId="0" borderId="47" xfId="8" applyNumberFormat="1" applyFont="1" applyBorder="1" applyAlignment="1">
      <alignment horizontal="center" vertical="center"/>
    </xf>
    <xf numFmtId="0" fontId="7" fillId="0" borderId="48" xfId="8" applyBorder="1" applyAlignment="1">
      <alignment horizontal="left" vertical="center"/>
    </xf>
    <xf numFmtId="0" fontId="7" fillId="0" borderId="48" xfId="8" applyBorder="1" applyAlignment="1">
      <alignment horizontal="center" vertical="center"/>
    </xf>
    <xf numFmtId="0" fontId="7" fillId="0" borderId="47" xfId="8" applyBorder="1" applyAlignment="1">
      <alignment horizontal="center" vertical="center"/>
    </xf>
    <xf numFmtId="167" fontId="2" fillId="0" borderId="128" xfId="8" applyNumberFormat="1" applyFont="1" applyBorder="1" applyAlignment="1">
      <alignment horizontal="center" vertical="center"/>
    </xf>
    <xf numFmtId="0" fontId="7" fillId="0" borderId="135" xfId="8" applyBorder="1" applyAlignment="1">
      <alignment horizontal="left" vertical="center"/>
    </xf>
    <xf numFmtId="0" fontId="7" fillId="0" borderId="135" xfId="8" applyBorder="1" applyAlignment="1">
      <alignment horizontal="center" vertical="center"/>
    </xf>
    <xf numFmtId="0" fontId="7" fillId="0" borderId="128" xfId="8" applyBorder="1" applyAlignment="1">
      <alignment horizontal="center" vertical="center"/>
    </xf>
    <xf numFmtId="167" fontId="2" fillId="0" borderId="47" xfId="9" applyNumberFormat="1" applyFont="1" applyFill="1" applyBorder="1" applyAlignment="1">
      <alignment vertical="top"/>
    </xf>
    <xf numFmtId="0" fontId="7" fillId="0" borderId="33" xfId="8" applyFont="1" applyFill="1" applyBorder="1" applyAlignment="1">
      <alignment horizontal="center" vertical="top"/>
    </xf>
    <xf numFmtId="167" fontId="2" fillId="0" borderId="131" xfId="9" applyNumberFormat="1" applyFont="1" applyFill="1" applyBorder="1" applyAlignment="1">
      <alignment vertical="top"/>
    </xf>
    <xf numFmtId="0" fontId="7" fillId="0" borderId="133" xfId="8" applyFont="1" applyFill="1" applyBorder="1" applyAlignment="1">
      <alignment horizontal="center" vertical="top"/>
    </xf>
    <xf numFmtId="167" fontId="2" fillId="0" borderId="128" xfId="1" applyNumberFormat="1" applyFont="1" applyBorder="1"/>
    <xf numFmtId="167" fontId="2" fillId="0" borderId="47" xfId="1" applyNumberFormat="1" applyFont="1" applyBorder="1"/>
    <xf numFmtId="0" fontId="56" fillId="0" borderId="27" xfId="8" applyFont="1" applyBorder="1"/>
    <xf numFmtId="167" fontId="2" fillId="0" borderId="128" xfId="8" applyNumberFormat="1" applyFont="1" applyBorder="1"/>
    <xf numFmtId="0" fontId="56" fillId="0" borderId="130" xfId="8" applyFont="1" applyBorder="1"/>
    <xf numFmtId="43" fontId="77" fillId="11" borderId="130" xfId="1" applyNumberFormat="1" applyFont="1" applyFill="1" applyBorder="1" applyAlignment="1">
      <alignment horizontal="center" vertical="center"/>
    </xf>
    <xf numFmtId="41" fontId="34" fillId="0" borderId="0" xfId="2" applyFont="1" applyFill="1" applyBorder="1" applyAlignment="1">
      <alignment horizontal="center"/>
    </xf>
    <xf numFmtId="41" fontId="8" fillId="0" borderId="2" xfId="2" applyFont="1" applyFill="1" applyBorder="1" applyAlignment="1">
      <alignment horizontal="center"/>
    </xf>
    <xf numFmtId="0" fontId="20" fillId="0" borderId="26" xfId="0" applyFont="1" applyBorder="1" applyAlignment="1">
      <alignment horizontal="left" wrapText="1"/>
    </xf>
    <xf numFmtId="0" fontId="20" fillId="0" borderId="25" xfId="0" applyFont="1" applyBorder="1" applyAlignment="1">
      <alignment horizontal="left" wrapText="1"/>
    </xf>
    <xf numFmtId="41" fontId="17" fillId="8" borderId="33" xfId="2" applyFont="1" applyFill="1" applyBorder="1" applyAlignment="1" applyProtection="1">
      <alignment horizontal="center" vertical="top"/>
    </xf>
    <xf numFmtId="41" fontId="17" fillId="8" borderId="26" xfId="2" applyFont="1" applyFill="1" applyBorder="1" applyAlignment="1" applyProtection="1">
      <alignment horizontal="center" vertical="top"/>
    </xf>
    <xf numFmtId="41" fontId="17" fillId="9" borderId="33" xfId="2" applyFont="1" applyFill="1" applyBorder="1" applyAlignment="1" applyProtection="1">
      <alignment vertical="top"/>
    </xf>
    <xf numFmtId="41" fontId="17" fillId="9" borderId="26" xfId="2" applyFont="1" applyFill="1" applyBorder="1" applyAlignment="1" applyProtection="1">
      <alignment vertical="top"/>
    </xf>
    <xf numFmtId="41" fontId="17" fillId="10" borderId="33" xfId="2" applyFont="1" applyFill="1" applyBorder="1" applyAlignment="1" applyProtection="1">
      <alignment horizontal="center" vertical="top"/>
    </xf>
    <xf numFmtId="41" fontId="17" fillId="10" borderId="26" xfId="2" applyFont="1" applyFill="1" applyBorder="1" applyAlignment="1" applyProtection="1">
      <alignment horizontal="center" vertical="top"/>
    </xf>
    <xf numFmtId="41" fontId="17" fillId="11" borderId="33" xfId="2" applyFont="1" applyFill="1" applyBorder="1" applyAlignment="1" applyProtection="1">
      <alignment horizontal="center" vertical="top"/>
    </xf>
    <xf numFmtId="41" fontId="17" fillId="11" borderId="26" xfId="2" applyFont="1" applyFill="1" applyBorder="1" applyAlignment="1" applyProtection="1">
      <alignment horizontal="center" vertical="top"/>
    </xf>
    <xf numFmtId="41" fontId="8" fillId="0" borderId="0" xfId="2" applyFont="1" applyFill="1" applyBorder="1" applyAlignment="1">
      <alignment horizontal="center"/>
    </xf>
    <xf numFmtId="41" fontId="17" fillId="11" borderId="31" xfId="2" applyFont="1" applyFill="1" applyBorder="1" applyAlignment="1" applyProtection="1">
      <alignment horizontal="center" vertical="top"/>
    </xf>
    <xf numFmtId="41" fontId="17" fillId="11" borderId="30" xfId="2" applyFont="1" applyFill="1" applyBorder="1" applyAlignment="1" applyProtection="1">
      <alignment horizontal="center" vertical="top"/>
    </xf>
    <xf numFmtId="41" fontId="17" fillId="8" borderId="31" xfId="2" applyFont="1" applyFill="1" applyBorder="1" applyAlignment="1" applyProtection="1">
      <alignment horizontal="center" vertical="top"/>
    </xf>
    <xf numFmtId="41" fontId="17" fillId="8" borderId="30" xfId="2" applyFont="1" applyFill="1" applyBorder="1" applyAlignment="1" applyProtection="1">
      <alignment horizontal="center" vertical="top"/>
    </xf>
    <xf numFmtId="41" fontId="17" fillId="9" borderId="31" xfId="2" applyFont="1" applyFill="1" applyBorder="1" applyAlignment="1" applyProtection="1">
      <alignment vertical="top"/>
    </xf>
    <xf numFmtId="41" fontId="17" fillId="9" borderId="30" xfId="2" applyFont="1" applyFill="1" applyBorder="1" applyAlignment="1" applyProtection="1">
      <alignment vertical="top"/>
    </xf>
    <xf numFmtId="41" fontId="17" fillId="10" borderId="31" xfId="2" applyFont="1" applyFill="1" applyBorder="1" applyAlignment="1" applyProtection="1">
      <alignment horizontal="center" vertical="top"/>
    </xf>
    <xf numFmtId="41" fontId="17" fillId="10" borderId="30" xfId="2" applyFont="1" applyFill="1" applyBorder="1" applyAlignment="1" applyProtection="1">
      <alignment horizontal="center" vertical="top"/>
    </xf>
    <xf numFmtId="41" fontId="17" fillId="11" borderId="57" xfId="2" applyFont="1" applyFill="1" applyBorder="1" applyAlignment="1" applyProtection="1">
      <alignment horizontal="center" vertical="top"/>
    </xf>
    <xf numFmtId="0" fontId="12" fillId="0" borderId="40" xfId="3" applyFont="1" applyFill="1" applyBorder="1" applyAlignment="1">
      <alignment horizontal="center" vertical="center"/>
    </xf>
    <xf numFmtId="0" fontId="12" fillId="0" borderId="41" xfId="3" applyFont="1" applyFill="1" applyBorder="1" applyAlignment="1">
      <alignment horizontal="center" vertical="center"/>
    </xf>
    <xf numFmtId="0" fontId="12" fillId="0" borderId="61" xfId="3" applyFont="1" applyFill="1" applyBorder="1" applyAlignment="1">
      <alignment horizontal="center" vertical="center"/>
    </xf>
    <xf numFmtId="3" fontId="12" fillId="0" borderId="17" xfId="3" applyNumberFormat="1" applyFont="1" applyFill="1" applyBorder="1" applyAlignment="1">
      <alignment horizontal="center" vertical="center"/>
    </xf>
    <xf numFmtId="3" fontId="12" fillId="0" borderId="0" xfId="3" applyNumberFormat="1" applyFont="1" applyFill="1" applyBorder="1" applyAlignment="1">
      <alignment horizontal="center" vertical="center"/>
    </xf>
    <xf numFmtId="3" fontId="12" fillId="0" borderId="21" xfId="3" applyNumberFormat="1" applyFont="1" applyFill="1" applyBorder="1" applyAlignment="1">
      <alignment horizontal="center" vertical="center"/>
    </xf>
    <xf numFmtId="3" fontId="12" fillId="0" borderId="5" xfId="3" applyNumberFormat="1" applyFont="1" applyFill="1" applyBorder="1" applyAlignment="1">
      <alignment horizontal="center" vertical="center"/>
    </xf>
    <xf numFmtId="3" fontId="12" fillId="0" borderId="2" xfId="3" applyNumberFormat="1" applyFont="1" applyFill="1" applyBorder="1" applyAlignment="1">
      <alignment horizontal="center" vertical="center"/>
    </xf>
    <xf numFmtId="3" fontId="12" fillId="0" borderId="39" xfId="3" applyNumberFormat="1" applyFont="1" applyFill="1" applyBorder="1" applyAlignment="1">
      <alignment horizontal="center" vertical="center"/>
    </xf>
    <xf numFmtId="3" fontId="11" fillId="0" borderId="45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3" fontId="11" fillId="0" borderId="6" xfId="3" applyNumberFormat="1" applyFont="1" applyFill="1" applyBorder="1" applyAlignment="1">
      <alignment horizontal="center" vertical="center"/>
    </xf>
    <xf numFmtId="3" fontId="11" fillId="0" borderId="29" xfId="3" applyNumberFormat="1" applyFont="1" applyFill="1" applyBorder="1" applyAlignment="1">
      <alignment horizontal="center" vertical="center"/>
    </xf>
    <xf numFmtId="3" fontId="11" fillId="0" borderId="38" xfId="3" applyNumberFormat="1" applyFont="1" applyFill="1" applyBorder="1" applyAlignment="1">
      <alignment horizontal="center" vertical="center"/>
    </xf>
    <xf numFmtId="0" fontId="18" fillId="2" borderId="20" xfId="3" applyFont="1" applyFill="1" applyBorder="1" applyAlignment="1">
      <alignment horizontal="center"/>
    </xf>
    <xf numFmtId="0" fontId="18" fillId="2" borderId="12" xfId="3" applyFont="1" applyFill="1" applyBorder="1" applyAlignment="1">
      <alignment horizontal="center"/>
    </xf>
    <xf numFmtId="0" fontId="18" fillId="2" borderId="23" xfId="3" applyFont="1" applyFill="1" applyBorder="1" applyAlignment="1">
      <alignment horizontal="center"/>
    </xf>
    <xf numFmtId="0" fontId="21" fillId="3" borderId="20" xfId="3" applyFont="1" applyFill="1" applyBorder="1" applyAlignment="1">
      <alignment horizontal="left"/>
    </xf>
    <xf numFmtId="0" fontId="21" fillId="3" borderId="12" xfId="3" applyFont="1" applyFill="1" applyBorder="1" applyAlignment="1">
      <alignment horizontal="left"/>
    </xf>
    <xf numFmtId="0" fontId="21" fillId="3" borderId="23" xfId="3" applyFont="1" applyFill="1" applyBorder="1" applyAlignment="1">
      <alignment horizontal="left"/>
    </xf>
    <xf numFmtId="0" fontId="10" fillId="0" borderId="26" xfId="3" applyFont="1" applyFill="1" applyBorder="1" applyAlignment="1">
      <alignment horizontal="left" wrapText="1"/>
    </xf>
    <xf numFmtId="0" fontId="10" fillId="0" borderId="25" xfId="3" applyFont="1" applyFill="1" applyBorder="1" applyAlignment="1">
      <alignment horizontal="left" wrapText="1"/>
    </xf>
    <xf numFmtId="41" fontId="27" fillId="9" borderId="31" xfId="2" applyFont="1" applyFill="1" applyBorder="1" applyAlignment="1" applyProtection="1">
      <alignment horizontal="center" vertical="top"/>
    </xf>
    <xf numFmtId="41" fontId="27" fillId="9" borderId="30" xfId="2" applyFont="1" applyFill="1" applyBorder="1" applyAlignment="1" applyProtection="1">
      <alignment horizontal="center" vertical="top"/>
    </xf>
    <xf numFmtId="41" fontId="27" fillId="10" borderId="31" xfId="2" applyFont="1" applyFill="1" applyBorder="1" applyAlignment="1" applyProtection="1">
      <alignment horizontal="center" vertical="top"/>
    </xf>
    <xf numFmtId="41" fontId="27" fillId="10" borderId="30" xfId="2" applyFont="1" applyFill="1" applyBorder="1" applyAlignment="1" applyProtection="1">
      <alignment horizontal="center" vertical="top"/>
    </xf>
    <xf numFmtId="3" fontId="19" fillId="0" borderId="37" xfId="3" applyNumberFormat="1" applyFont="1" applyFill="1" applyBorder="1" applyAlignment="1">
      <alignment horizontal="center" vertical="center"/>
    </xf>
    <xf numFmtId="3" fontId="19" fillId="0" borderId="29" xfId="3" applyNumberFormat="1" applyFont="1" applyFill="1" applyBorder="1" applyAlignment="1">
      <alignment horizontal="center" vertical="center"/>
    </xf>
    <xf numFmtId="3" fontId="19" fillId="0" borderId="11" xfId="3" applyNumberFormat="1" applyFont="1" applyFill="1" applyBorder="1" applyAlignment="1">
      <alignment horizontal="center" vertical="center"/>
    </xf>
    <xf numFmtId="164" fontId="10" fillId="0" borderId="0" xfId="3" applyNumberFormat="1" applyFont="1" applyFill="1" applyBorder="1" applyAlignment="1">
      <alignment horizontal="left"/>
    </xf>
    <xf numFmtId="3" fontId="12" fillId="0" borderId="37" xfId="3" applyNumberFormat="1" applyFont="1" applyFill="1" applyBorder="1" applyAlignment="1">
      <alignment horizontal="center" vertical="center"/>
    </xf>
    <xf numFmtId="3" fontId="12" fillId="0" borderId="29" xfId="3" applyNumberFormat="1" applyFont="1" applyFill="1" applyBorder="1" applyAlignment="1">
      <alignment horizontal="center" vertical="center"/>
    </xf>
    <xf numFmtId="3" fontId="12" fillId="0" borderId="38" xfId="3" applyNumberFormat="1" applyFont="1" applyFill="1" applyBorder="1" applyAlignment="1">
      <alignment horizontal="center" vertical="center"/>
    </xf>
    <xf numFmtId="3" fontId="12" fillId="0" borderId="6" xfId="3" applyNumberFormat="1" applyFont="1" applyFill="1" applyBorder="1" applyAlignment="1">
      <alignment horizontal="center" vertical="center"/>
    </xf>
    <xf numFmtId="3" fontId="12" fillId="0" borderId="13" xfId="3" applyNumberFormat="1" applyFont="1" applyFill="1" applyBorder="1" applyAlignment="1">
      <alignment horizontal="center" vertical="center"/>
    </xf>
    <xf numFmtId="3" fontId="12" fillId="0" borderId="14" xfId="3" applyNumberFormat="1" applyFont="1" applyFill="1" applyBorder="1" applyAlignment="1">
      <alignment horizontal="center" vertical="center"/>
    </xf>
    <xf numFmtId="4" fontId="12" fillId="0" borderId="7" xfId="3" applyNumberFormat="1" applyFont="1" applyFill="1" applyBorder="1" applyAlignment="1">
      <alignment horizontal="center" vertical="center"/>
    </xf>
    <xf numFmtId="4" fontId="12" fillId="0" borderId="32" xfId="3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 applyProtection="1">
      <alignment horizontal="left" vertical="top" wrapText="1"/>
    </xf>
    <xf numFmtId="0" fontId="8" fillId="0" borderId="25" xfId="0" applyNumberFormat="1" applyFont="1" applyFill="1" applyBorder="1" applyAlignment="1" applyProtection="1">
      <alignment horizontal="left" vertical="top" wrapText="1"/>
    </xf>
    <xf numFmtId="0" fontId="8" fillId="0" borderId="18" xfId="0" applyNumberFormat="1" applyFont="1" applyFill="1" applyBorder="1" applyAlignment="1" applyProtection="1">
      <alignment horizontal="left" vertical="top"/>
    </xf>
    <xf numFmtId="0" fontId="8" fillId="0" borderId="12" xfId="0" applyNumberFormat="1" applyFont="1" applyFill="1" applyBorder="1" applyAlignment="1" applyProtection="1">
      <alignment horizontal="left" vertical="top"/>
    </xf>
    <xf numFmtId="0" fontId="8" fillId="0" borderId="23" xfId="0" applyNumberFormat="1" applyFont="1" applyFill="1" applyBorder="1" applyAlignment="1" applyProtection="1">
      <alignment horizontal="left" vertical="top"/>
    </xf>
    <xf numFmtId="0" fontId="10" fillId="0" borderId="26" xfId="0" applyNumberFormat="1" applyFont="1" applyFill="1" applyBorder="1" applyAlignment="1" applyProtection="1">
      <alignment horizontal="left" vertical="top" wrapText="1"/>
    </xf>
    <xf numFmtId="0" fontId="10" fillId="0" borderId="48" xfId="0" applyNumberFormat="1" applyFont="1" applyFill="1" applyBorder="1" applyAlignment="1" applyProtection="1">
      <alignment horizontal="left" vertical="top" wrapText="1"/>
    </xf>
    <xf numFmtId="0" fontId="10" fillId="0" borderId="25" xfId="0" applyNumberFormat="1" applyFont="1" applyFill="1" applyBorder="1" applyAlignment="1" applyProtection="1">
      <alignment horizontal="left" vertical="top" wrapText="1"/>
    </xf>
    <xf numFmtId="0" fontId="10" fillId="0" borderId="28" xfId="0" applyNumberFormat="1" applyFont="1" applyFill="1" applyBorder="1" applyAlignment="1" applyProtection="1">
      <alignment horizontal="left" vertical="top" wrapText="1"/>
    </xf>
    <xf numFmtId="0" fontId="20" fillId="0" borderId="18" xfId="0" applyFont="1" applyBorder="1" applyAlignment="1">
      <alignment horizontal="left"/>
    </xf>
    <xf numFmtId="0" fontId="20" fillId="0" borderId="12" xfId="0" quotePrefix="1" applyFont="1" applyBorder="1" applyAlignment="1">
      <alignment horizontal="left"/>
    </xf>
    <xf numFmtId="0" fontId="20" fillId="0" borderId="23" xfId="0" quotePrefix="1" applyFont="1" applyBorder="1" applyAlignment="1">
      <alignment horizontal="left"/>
    </xf>
    <xf numFmtId="41" fontId="27" fillId="9" borderId="57" xfId="2" applyFont="1" applyFill="1" applyBorder="1" applyAlignment="1" applyProtection="1">
      <alignment horizontal="center" vertical="top"/>
    </xf>
    <xf numFmtId="41" fontId="27" fillId="10" borderId="57" xfId="2" applyFont="1" applyFill="1" applyBorder="1" applyAlignment="1" applyProtection="1">
      <alignment horizontal="center" vertical="top"/>
    </xf>
    <xf numFmtId="0" fontId="10" fillId="7" borderId="29" xfId="0" applyNumberFormat="1" applyFont="1" applyFill="1" applyBorder="1" applyAlignment="1" applyProtection="1">
      <alignment horizontal="left" vertical="top" wrapText="1"/>
    </xf>
    <xf numFmtId="0" fontId="10" fillId="7" borderId="38" xfId="0" applyNumberFormat="1" applyFont="1" applyFill="1" applyBorder="1" applyAlignment="1" applyProtection="1">
      <alignment horizontal="left" vertical="top" wrapText="1"/>
    </xf>
    <xf numFmtId="0" fontId="10" fillId="7" borderId="25" xfId="0" applyNumberFormat="1" applyFont="1" applyFill="1" applyBorder="1" applyAlignment="1" applyProtection="1">
      <alignment horizontal="left" vertical="top" wrapText="1"/>
    </xf>
    <xf numFmtId="0" fontId="10" fillId="7" borderId="28" xfId="0" applyNumberFormat="1" applyFont="1" applyFill="1" applyBorder="1" applyAlignment="1" applyProtection="1">
      <alignment horizontal="left" vertical="top" wrapText="1"/>
    </xf>
    <xf numFmtId="0" fontId="49" fillId="0" borderId="16" xfId="0" applyFont="1" applyBorder="1" applyAlignment="1">
      <alignment horizontal="center" vertical="center" wrapText="1"/>
    </xf>
    <xf numFmtId="0" fontId="49" fillId="0" borderId="32" xfId="0" applyFont="1" applyBorder="1" applyAlignment="1">
      <alignment horizontal="center" vertical="center" wrapText="1"/>
    </xf>
    <xf numFmtId="0" fontId="49" fillId="0" borderId="69" xfId="0" applyFont="1" applyBorder="1" applyAlignment="1">
      <alignment horizontal="center" vertical="center" wrapText="1"/>
    </xf>
    <xf numFmtId="0" fontId="77" fillId="0" borderId="9" xfId="0" applyFont="1" applyBorder="1" applyAlignment="1">
      <alignment horizontal="center" vertical="center"/>
    </xf>
    <xf numFmtId="0" fontId="77" fillId="0" borderId="10" xfId="0" applyFont="1" applyBorder="1" applyAlignment="1">
      <alignment horizontal="center" vertical="center"/>
    </xf>
    <xf numFmtId="0" fontId="77" fillId="0" borderId="42" xfId="0" applyFont="1" applyBorder="1" applyAlignment="1">
      <alignment horizontal="center" vertical="center"/>
    </xf>
    <xf numFmtId="0" fontId="40" fillId="0" borderId="12" xfId="0" applyFont="1" applyBorder="1" applyAlignment="1">
      <alignment horizontal="left" vertical="center" wrapText="1"/>
    </xf>
    <xf numFmtId="0" fontId="40" fillId="0" borderId="12" xfId="0" applyFont="1" applyFill="1" applyBorder="1" applyAlignment="1">
      <alignment horizontal="left" vertical="center" wrapText="1"/>
    </xf>
    <xf numFmtId="0" fontId="49" fillId="0" borderId="22" xfId="0" applyFont="1" applyBorder="1" applyAlignment="1">
      <alignment horizontal="center" vertical="center" wrapText="1"/>
    </xf>
    <xf numFmtId="0" fontId="49" fillId="0" borderId="73" xfId="0" applyFont="1" applyBorder="1" applyAlignment="1">
      <alignment horizontal="center" vertical="center" wrapText="1"/>
    </xf>
    <xf numFmtId="0" fontId="49" fillId="0" borderId="43" xfId="0" applyFont="1" applyBorder="1" applyAlignment="1">
      <alignment horizontal="center" vertical="center" wrapText="1"/>
    </xf>
    <xf numFmtId="0" fontId="49" fillId="0" borderId="44" xfId="0" applyFont="1" applyBorder="1" applyAlignment="1">
      <alignment horizontal="center" vertical="center" wrapText="1"/>
    </xf>
    <xf numFmtId="0" fontId="40" fillId="0" borderId="132" xfId="0" applyFont="1" applyBorder="1" applyAlignment="1">
      <alignment horizontal="left" vertical="center" wrapText="1"/>
    </xf>
    <xf numFmtId="0" fontId="10" fillId="0" borderId="95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1" xfId="0" applyFont="1" applyBorder="1" applyAlignment="1">
      <alignment horizontal="center" vertic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49" fillId="0" borderId="16" xfId="0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49" fillId="0" borderId="69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 wrapText="1"/>
    </xf>
    <xf numFmtId="0" fontId="49" fillId="0" borderId="21" xfId="0" applyFont="1" applyBorder="1" applyAlignment="1">
      <alignment horizontal="center" vertical="center" wrapText="1"/>
    </xf>
    <xf numFmtId="0" fontId="49" fillId="0" borderId="9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7" fillId="0" borderId="23" xfId="8" applyBorder="1" applyAlignment="1">
      <alignment horizontal="left" vertical="top" wrapText="1"/>
    </xf>
    <xf numFmtId="0" fontId="57" fillId="0" borderId="129" xfId="8" applyFont="1" applyBorder="1" applyAlignment="1">
      <alignment horizontal="center" vertical="center"/>
    </xf>
    <xf numFmtId="0" fontId="57" fillId="0" borderId="0" xfId="8" applyFont="1" applyAlignment="1">
      <alignment horizontal="center"/>
    </xf>
    <xf numFmtId="0" fontId="57" fillId="0" borderId="0" xfId="8" applyFont="1" applyAlignment="1">
      <alignment horizontal="center" vertical="center"/>
    </xf>
    <xf numFmtId="0" fontId="57" fillId="0" borderId="9" xfId="8" applyFont="1" applyBorder="1" applyAlignment="1">
      <alignment horizontal="center" vertical="center"/>
    </xf>
    <xf numFmtId="0" fontId="57" fillId="0" borderId="42" xfId="8" applyFont="1" applyBorder="1" applyAlignment="1">
      <alignment horizontal="center" vertical="center"/>
    </xf>
    <xf numFmtId="0" fontId="57" fillId="0" borderId="9" xfId="8" applyFont="1" applyBorder="1" applyAlignment="1">
      <alignment horizontal="center"/>
    </xf>
    <xf numFmtId="0" fontId="57" fillId="0" borderId="42" xfId="8" applyFont="1" applyBorder="1" applyAlignment="1">
      <alignment horizontal="center"/>
    </xf>
    <xf numFmtId="167" fontId="57" fillId="0" borderId="9" xfId="8" applyNumberFormat="1" applyFont="1" applyBorder="1" applyAlignment="1">
      <alignment horizontal="center"/>
    </xf>
    <xf numFmtId="0" fontId="57" fillId="0" borderId="10" xfId="8" applyFont="1" applyBorder="1" applyAlignment="1">
      <alignment horizontal="center"/>
    </xf>
    <xf numFmtId="0" fontId="6" fillId="0" borderId="9" xfId="8" applyFont="1" applyBorder="1" applyAlignment="1">
      <alignment horizontal="center"/>
    </xf>
    <xf numFmtId="0" fontId="6" fillId="0" borderId="42" xfId="8" applyFont="1" applyBorder="1" applyAlignment="1">
      <alignment horizontal="center"/>
    </xf>
    <xf numFmtId="0" fontId="57" fillId="0" borderId="10" xfId="8" applyFont="1" applyBorder="1" applyAlignment="1">
      <alignment horizontal="center" vertical="center"/>
    </xf>
    <xf numFmtId="167" fontId="4" fillId="0" borderId="9" xfId="8" applyNumberFormat="1" applyFont="1" applyBorder="1" applyAlignment="1">
      <alignment horizontal="center"/>
    </xf>
    <xf numFmtId="0" fontId="4" fillId="0" borderId="10" xfId="8" applyFont="1" applyBorder="1" applyAlignment="1">
      <alignment horizontal="center"/>
    </xf>
    <xf numFmtId="0" fontId="4" fillId="0" borderId="42" xfId="8" applyFont="1" applyBorder="1" applyAlignment="1">
      <alignment horizontal="center"/>
    </xf>
    <xf numFmtId="167" fontId="66" fillId="0" borderId="9" xfId="8" applyNumberFormat="1" applyFont="1" applyBorder="1" applyAlignment="1">
      <alignment horizontal="center"/>
    </xf>
    <xf numFmtId="0" fontId="66" fillId="0" borderId="10" xfId="8" applyFont="1" applyBorder="1" applyAlignment="1">
      <alignment horizontal="center"/>
    </xf>
    <xf numFmtId="0" fontId="66" fillId="0" borderId="42" xfId="8" applyFont="1" applyBorder="1" applyAlignment="1">
      <alignment horizontal="center"/>
    </xf>
    <xf numFmtId="0" fontId="68" fillId="0" borderId="9" xfId="8" applyFont="1" applyBorder="1" applyAlignment="1">
      <alignment horizontal="center" vertical="center"/>
    </xf>
    <xf numFmtId="0" fontId="68" fillId="0" borderId="42" xfId="8" applyFont="1" applyBorder="1" applyAlignment="1">
      <alignment horizontal="center" vertical="center"/>
    </xf>
    <xf numFmtId="41" fontId="47" fillId="0" borderId="0" xfId="2" applyFont="1" applyFill="1" applyBorder="1" applyAlignment="1">
      <alignment horizontal="center"/>
    </xf>
    <xf numFmtId="41" fontId="45" fillId="0" borderId="0" xfId="2" applyFont="1" applyFill="1" applyBorder="1" applyAlignment="1">
      <alignment horizontal="center"/>
    </xf>
    <xf numFmtId="41" fontId="0" fillId="5" borderId="0" xfId="0" applyNumberFormat="1" applyFill="1" applyAlignment="1">
      <alignment horizontal="center"/>
    </xf>
    <xf numFmtId="41" fontId="0" fillId="0" borderId="0" xfId="2" applyFont="1" applyAlignment="1">
      <alignment horizontal="center"/>
    </xf>
    <xf numFmtId="41" fontId="0" fillId="5" borderId="10" xfId="0" applyNumberFormat="1" applyFill="1" applyBorder="1" applyAlignment="1">
      <alignment horizontal="center"/>
    </xf>
    <xf numFmtId="41" fontId="0" fillId="5" borderId="42" xfId="0" applyNumberForma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41" fontId="0" fillId="0" borderId="0" xfId="2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41" fontId="8" fillId="0" borderId="0" xfId="2" applyFont="1" applyAlignment="1">
      <alignment horizontal="center"/>
    </xf>
    <xf numFmtId="3" fontId="37" fillId="0" borderId="6" xfId="3" applyNumberFormat="1" applyFont="1" applyFill="1" applyBorder="1" applyAlignment="1">
      <alignment horizontal="center" vertical="center"/>
    </xf>
    <xf numFmtId="3" fontId="37" fillId="0" borderId="29" xfId="3" applyNumberFormat="1" applyFont="1" applyFill="1" applyBorder="1" applyAlignment="1">
      <alignment horizontal="center" vertical="center"/>
    </xf>
    <xf numFmtId="3" fontId="37" fillId="0" borderId="38" xfId="3" applyNumberFormat="1" applyFont="1" applyFill="1" applyBorder="1" applyAlignment="1">
      <alignment horizontal="center" vertical="center"/>
    </xf>
    <xf numFmtId="3" fontId="23" fillId="0" borderId="22" xfId="1" applyNumberFormat="1" applyFont="1" applyBorder="1" applyAlignment="1">
      <alignment horizontal="center" vertical="center"/>
    </xf>
    <xf numFmtId="3" fontId="23" fillId="0" borderId="67" xfId="1" applyNumberFormat="1" applyFont="1" applyBorder="1" applyAlignment="1">
      <alignment horizontal="center" vertical="center"/>
    </xf>
    <xf numFmtId="3" fontId="23" fillId="0" borderId="43" xfId="1" applyNumberFormat="1" applyFont="1" applyBorder="1" applyAlignment="1">
      <alignment horizontal="center" vertical="center"/>
    </xf>
    <xf numFmtId="3" fontId="23" fillId="0" borderId="68" xfId="1" applyNumberFormat="1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3" fontId="10" fillId="0" borderId="67" xfId="1" applyNumberFormat="1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22" xfId="0" applyNumberFormat="1" applyFont="1" applyFill="1" applyBorder="1" applyAlignment="1" applyProtection="1">
      <alignment horizontal="center" vertical="center" wrapText="1"/>
    </xf>
    <xf numFmtId="0" fontId="8" fillId="0" borderId="67" xfId="0" applyNumberFormat="1" applyFont="1" applyFill="1" applyBorder="1" applyAlignment="1" applyProtection="1">
      <alignment horizontal="center" vertical="center" wrapText="1"/>
    </xf>
    <xf numFmtId="0" fontId="8" fillId="0" borderId="73" xfId="0" applyNumberFormat="1" applyFont="1" applyFill="1" applyBorder="1" applyAlignment="1" applyProtection="1">
      <alignment horizontal="center" vertical="center" wrapText="1"/>
    </xf>
    <xf numFmtId="0" fontId="8" fillId="0" borderId="71" xfId="0" applyNumberFormat="1" applyFont="1" applyFill="1" applyBorder="1" applyAlignment="1" applyProtection="1">
      <alignment horizontal="center" vertical="center" wrapText="1"/>
    </xf>
    <xf numFmtId="0" fontId="8" fillId="0" borderId="72" xfId="0" applyNumberFormat="1" applyFont="1" applyFill="1" applyBorder="1" applyAlignment="1" applyProtection="1">
      <alignment horizontal="center" vertical="center" wrapText="1"/>
    </xf>
    <xf numFmtId="0" fontId="8" fillId="0" borderId="74" xfId="0" applyNumberFormat="1" applyFont="1" applyFill="1" applyBorder="1" applyAlignment="1" applyProtection="1">
      <alignment horizontal="center" vertical="center" wrapText="1"/>
    </xf>
    <xf numFmtId="0" fontId="0" fillId="0" borderId="67" xfId="0" applyBorder="1" applyAlignment="1">
      <alignment wrapText="1"/>
    </xf>
    <xf numFmtId="0" fontId="0" fillId="0" borderId="72" xfId="0" applyBorder="1" applyAlignment="1">
      <alignment wrapText="1"/>
    </xf>
    <xf numFmtId="41" fontId="23" fillId="0" borderId="9" xfId="2" applyFont="1" applyBorder="1" applyAlignment="1">
      <alignment horizontal="center"/>
    </xf>
    <xf numFmtId="41" fontId="23" fillId="0" borderId="10" xfId="2" applyFont="1" applyBorder="1" applyAlignment="1">
      <alignment horizontal="center"/>
    </xf>
    <xf numFmtId="41" fontId="23" fillId="0" borderId="42" xfId="2" applyFont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 vertical="top"/>
    </xf>
    <xf numFmtId="3" fontId="48" fillId="0" borderId="0" xfId="3" applyNumberFormat="1" applyFont="1" applyFill="1" applyBorder="1" applyAlignment="1">
      <alignment horizontal="center" vertical="top"/>
    </xf>
    <xf numFmtId="3" fontId="48" fillId="0" borderId="21" xfId="3" applyNumberFormat="1" applyFont="1" applyFill="1" applyBorder="1" applyAlignment="1">
      <alignment horizontal="center" vertical="top"/>
    </xf>
    <xf numFmtId="3" fontId="35" fillId="0" borderId="76" xfId="3" applyNumberFormat="1" applyFont="1" applyFill="1" applyBorder="1" applyAlignment="1">
      <alignment horizontal="center" vertical="top"/>
    </xf>
    <xf numFmtId="3" fontId="35" fillId="0" borderId="77" xfId="3" applyNumberFormat="1" applyFont="1" applyFill="1" applyBorder="1" applyAlignment="1">
      <alignment horizontal="center" vertical="top"/>
    </xf>
    <xf numFmtId="3" fontId="35" fillId="0" borderId="78" xfId="3" applyNumberFormat="1" applyFont="1" applyFill="1" applyBorder="1" applyAlignment="1">
      <alignment horizontal="center" vertical="top"/>
    </xf>
    <xf numFmtId="43" fontId="12" fillId="0" borderId="2" xfId="1" applyFont="1" applyFill="1" applyBorder="1" applyAlignment="1">
      <alignment horizontal="center"/>
    </xf>
    <xf numFmtId="43" fontId="12" fillId="0" borderId="3" xfId="1" applyFont="1" applyFill="1" applyBorder="1" applyAlignment="1">
      <alignment horizontal="center"/>
    </xf>
    <xf numFmtId="41" fontId="8" fillId="0" borderId="95" xfId="2" applyFont="1" applyBorder="1" applyAlignment="1">
      <alignment horizontal="center"/>
    </xf>
    <xf numFmtId="41" fontId="8" fillId="0" borderId="97" xfId="2" applyFont="1" applyBorder="1" applyAlignment="1">
      <alignment horizontal="center"/>
    </xf>
    <xf numFmtId="0" fontId="0" fillId="0" borderId="96" xfId="0" applyBorder="1"/>
    <xf numFmtId="0" fontId="0" fillId="0" borderId="97" xfId="0" applyBorder="1"/>
    <xf numFmtId="0" fontId="44" fillId="0" borderId="0" xfId="0" applyFont="1" applyAlignment="1">
      <alignment horizontal="center"/>
    </xf>
    <xf numFmtId="41" fontId="8" fillId="0" borderId="96" xfId="2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5" xfId="0" applyBorder="1" applyAlignment="1">
      <alignment horizontal="center"/>
    </xf>
  </cellXfs>
  <cellStyles count="10">
    <cellStyle name="Comma" xfId="1" builtinId="3"/>
    <cellStyle name="Comma [0]" xfId="2" builtinId="6"/>
    <cellStyle name="Comma [0] 2" xfId="5"/>
    <cellStyle name="Comma 2" xfId="4"/>
    <cellStyle name="Comma 3" xfId="9"/>
    <cellStyle name="Normal" xfId="0" builtinId="0"/>
    <cellStyle name="Normal 2" xfId="6"/>
    <cellStyle name="Normal 2 3" xfId="7"/>
    <cellStyle name="Normal 3" xfId="8"/>
    <cellStyle name="Normal_keg dikdas dikpora" xfId="3"/>
  </cellStyles>
  <dxfs count="0"/>
  <tableStyles count="0" defaultTableStyle="TableStyleMedium9" defaultPivotStyle="PivotStyleLight16"/>
  <colors>
    <mruColors>
      <color rgb="FF000000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297070786701607E-4"/>
          <c:y val="0"/>
          <c:w val="0.99910704811248252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'kurva S'!$AG$397</c:f>
              <c:strCache>
                <c:ptCount val="1"/>
                <c:pt idx="0">
                  <c:v>Rcn.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'kurva S'!$AH$397:$AS$397</c:f>
              <c:numCache>
                <c:formatCode>_(* #,##0_);_(* \(#,##0\);_(* "-"_);_(@_)</c:formatCode>
                <c:ptCount val="12"/>
                <c:pt idx="0">
                  <c:v>8719000</c:v>
                </c:pt>
                <c:pt idx="1">
                  <c:v>88601000</c:v>
                </c:pt>
                <c:pt idx="2">
                  <c:v>2061086800</c:v>
                </c:pt>
                <c:pt idx="3">
                  <c:v>2305860200</c:v>
                </c:pt>
                <c:pt idx="4">
                  <c:v>6380351000</c:v>
                </c:pt>
                <c:pt idx="5">
                  <c:v>6649577000</c:v>
                </c:pt>
                <c:pt idx="6">
                  <c:v>10692699400</c:v>
                </c:pt>
                <c:pt idx="7">
                  <c:v>10937003800</c:v>
                </c:pt>
                <c:pt idx="8">
                  <c:v>12450600200</c:v>
                </c:pt>
                <c:pt idx="9">
                  <c:v>13830497194</c:v>
                </c:pt>
                <c:pt idx="10">
                  <c:v>15283897194</c:v>
                </c:pt>
                <c:pt idx="11">
                  <c:v>15288822600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'kurva S'!$AG$398</c:f>
              <c:strCache>
                <c:ptCount val="1"/>
                <c:pt idx="0">
                  <c:v>Real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'kurva S'!$AH$398:$AS$398</c:f>
              <c:numCache>
                <c:formatCode>#,##0_);\(#,##0\)</c:formatCode>
                <c:ptCount val="12"/>
                <c:pt idx="0" formatCode="#,##0.00_);\(#,##0.00\)">
                  <c:v>0</c:v>
                </c:pt>
                <c:pt idx="1">
                  <c:v>19931000</c:v>
                </c:pt>
                <c:pt idx="2">
                  <c:v>70996000</c:v>
                </c:pt>
                <c:pt idx="3">
                  <c:v>232632700</c:v>
                </c:pt>
                <c:pt idx="4">
                  <c:v>290211200</c:v>
                </c:pt>
                <c:pt idx="5">
                  <c:v>316699200</c:v>
                </c:pt>
                <c:pt idx="6">
                  <c:v>2189791300</c:v>
                </c:pt>
                <c:pt idx="7">
                  <c:v>2867045500</c:v>
                </c:pt>
                <c:pt idx="8">
                  <c:v>3313464160</c:v>
                </c:pt>
                <c:pt idx="9">
                  <c:v>5222155332</c:v>
                </c:pt>
                <c:pt idx="10">
                  <c:v>6794652932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435904"/>
        <c:axId val="565427744"/>
      </c:lineChart>
      <c:catAx>
        <c:axId val="565435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65427744"/>
        <c:crosses val="autoZero"/>
        <c:auto val="1"/>
        <c:lblAlgn val="ctr"/>
        <c:lblOffset val="100"/>
        <c:noMultiLvlLbl val="0"/>
      </c:catAx>
      <c:valAx>
        <c:axId val="565427744"/>
        <c:scaling>
          <c:orientation val="minMax"/>
        </c:scaling>
        <c:delete val="1"/>
        <c:axPos val="l"/>
        <c:numFmt formatCode="_(* #,##0_);_(* \(#,##0\);_(* &quot;-&quot;_);_(@_)" sourceLinked="1"/>
        <c:majorTickMark val="out"/>
        <c:minorTickMark val="none"/>
        <c:tickLblPos val="nextTo"/>
        <c:crossAx val="56543590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366</xdr:row>
      <xdr:rowOff>57150</xdr:rowOff>
    </xdr:from>
    <xdr:to>
      <xdr:col>40</xdr:col>
      <xdr:colOff>576262</xdr:colOff>
      <xdr:row>368</xdr:row>
      <xdr:rowOff>66675</xdr:rowOff>
    </xdr:to>
    <xdr:pic>
      <xdr:nvPicPr>
        <xdr:cNvPr id="3" name="Picture 2" descr="Scan KABID.jpg"/>
        <xdr:cNvPicPr/>
      </xdr:nvPicPr>
      <xdr:blipFill>
        <a:blip xmlns:r="http://schemas.openxmlformats.org/officeDocument/2006/relationships" r:embed="rId1">
          <a:lum contrast="10000"/>
        </a:blip>
        <a:srcRect l="48859" t="44686" r="15411" b="51087"/>
        <a:stretch>
          <a:fillRect/>
        </a:stretch>
      </xdr:blipFill>
      <xdr:spPr>
        <a:xfrm>
          <a:off x="14306550" y="59807475"/>
          <a:ext cx="2047875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1009647</xdr:colOff>
      <xdr:row>365</xdr:row>
      <xdr:rowOff>180975</xdr:rowOff>
    </xdr:from>
    <xdr:to>
      <xdr:col>46</xdr:col>
      <xdr:colOff>152400</xdr:colOff>
      <xdr:row>394</xdr:row>
      <xdr:rowOff>19056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404</xdr:row>
      <xdr:rowOff>85725</xdr:rowOff>
    </xdr:from>
    <xdr:to>
      <xdr:col>5</xdr:col>
      <xdr:colOff>142875</xdr:colOff>
      <xdr:row>404</xdr:row>
      <xdr:rowOff>87313</xdr:rowOff>
    </xdr:to>
    <xdr:cxnSp macro="">
      <xdr:nvCxnSpPr>
        <xdr:cNvPr id="19" name="Straight Connector 18"/>
        <xdr:cNvCxnSpPr/>
      </xdr:nvCxnSpPr>
      <xdr:spPr>
        <a:xfrm>
          <a:off x="361950" y="7467600"/>
          <a:ext cx="514350" cy="1588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405</xdr:row>
      <xdr:rowOff>104775</xdr:rowOff>
    </xdr:from>
    <xdr:to>
      <xdr:col>5</xdr:col>
      <xdr:colOff>152400</xdr:colOff>
      <xdr:row>405</xdr:row>
      <xdr:rowOff>106363</xdr:rowOff>
    </xdr:to>
    <xdr:cxnSp macro="">
      <xdr:nvCxnSpPr>
        <xdr:cNvPr id="20" name="Straight Connector 19"/>
        <xdr:cNvCxnSpPr/>
      </xdr:nvCxnSpPr>
      <xdr:spPr>
        <a:xfrm>
          <a:off x="371475" y="7667625"/>
          <a:ext cx="514350" cy="1588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</xdr:colOff>
      <xdr:row>367</xdr:row>
      <xdr:rowOff>38100</xdr:rowOff>
    </xdr:from>
    <xdr:to>
      <xdr:col>44</xdr:col>
      <xdr:colOff>942975</xdr:colOff>
      <xdr:row>367</xdr:row>
      <xdr:rowOff>39688</xdr:rowOff>
    </xdr:to>
    <xdr:cxnSp macro="">
      <xdr:nvCxnSpPr>
        <xdr:cNvPr id="21" name="Straight Connector 20"/>
        <xdr:cNvCxnSpPr/>
      </xdr:nvCxnSpPr>
      <xdr:spPr>
        <a:xfrm>
          <a:off x="12830175" y="876300"/>
          <a:ext cx="1933575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38101</xdr:colOff>
      <xdr:row>388</xdr:row>
      <xdr:rowOff>104775</xdr:rowOff>
    </xdr:from>
    <xdr:to>
      <xdr:col>45</xdr:col>
      <xdr:colOff>381001</xdr:colOff>
      <xdr:row>390</xdr:row>
      <xdr:rowOff>28575</xdr:rowOff>
    </xdr:to>
    <xdr:sp macro="" textlink="">
      <xdr:nvSpPr>
        <xdr:cNvPr id="7" name="TextBox 6"/>
        <xdr:cNvSpPr txBox="1"/>
      </xdr:nvSpPr>
      <xdr:spPr>
        <a:xfrm>
          <a:off x="14906626" y="4591050"/>
          <a:ext cx="342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900">
              <a:ln>
                <a:noFill/>
              </a:ln>
            </a:rPr>
            <a:t>20</a:t>
          </a:r>
        </a:p>
      </xdr:txBody>
    </xdr:sp>
    <xdr:clientData/>
  </xdr:twoCellAnchor>
  <xdr:twoCellAnchor>
    <xdr:from>
      <xdr:col>45</xdr:col>
      <xdr:colOff>57150</xdr:colOff>
      <xdr:row>384</xdr:row>
      <xdr:rowOff>19050</xdr:rowOff>
    </xdr:from>
    <xdr:to>
      <xdr:col>45</xdr:col>
      <xdr:colOff>361950</xdr:colOff>
      <xdr:row>385</xdr:row>
      <xdr:rowOff>104775</xdr:rowOff>
    </xdr:to>
    <xdr:sp macro="" textlink="">
      <xdr:nvSpPr>
        <xdr:cNvPr id="8" name="TextBox 7"/>
        <xdr:cNvSpPr txBox="1"/>
      </xdr:nvSpPr>
      <xdr:spPr>
        <a:xfrm>
          <a:off x="14925675" y="3800475"/>
          <a:ext cx="304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900">
              <a:ln>
                <a:noFill/>
              </a:ln>
            </a:rPr>
            <a:t>40</a:t>
          </a:r>
        </a:p>
      </xdr:txBody>
    </xdr:sp>
    <xdr:clientData/>
  </xdr:twoCellAnchor>
  <xdr:twoCellAnchor>
    <xdr:from>
      <xdr:col>45</xdr:col>
      <xdr:colOff>38101</xdr:colOff>
      <xdr:row>379</xdr:row>
      <xdr:rowOff>28575</xdr:rowOff>
    </xdr:from>
    <xdr:to>
      <xdr:col>45</xdr:col>
      <xdr:colOff>361951</xdr:colOff>
      <xdr:row>380</xdr:row>
      <xdr:rowOff>114300</xdr:rowOff>
    </xdr:to>
    <xdr:sp macro="" textlink="">
      <xdr:nvSpPr>
        <xdr:cNvPr id="9" name="TextBox 8"/>
        <xdr:cNvSpPr txBox="1"/>
      </xdr:nvSpPr>
      <xdr:spPr>
        <a:xfrm>
          <a:off x="14906626" y="2943225"/>
          <a:ext cx="3238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900">
              <a:ln>
                <a:noFill/>
              </a:ln>
            </a:rPr>
            <a:t>60</a:t>
          </a:r>
        </a:p>
      </xdr:txBody>
    </xdr:sp>
    <xdr:clientData/>
  </xdr:twoCellAnchor>
  <xdr:twoCellAnchor>
    <xdr:from>
      <xdr:col>45</xdr:col>
      <xdr:colOff>19051</xdr:colOff>
      <xdr:row>374</xdr:row>
      <xdr:rowOff>0</xdr:rowOff>
    </xdr:from>
    <xdr:to>
      <xdr:col>45</xdr:col>
      <xdr:colOff>381001</xdr:colOff>
      <xdr:row>375</xdr:row>
      <xdr:rowOff>85725</xdr:rowOff>
    </xdr:to>
    <xdr:sp macro="" textlink="">
      <xdr:nvSpPr>
        <xdr:cNvPr id="10" name="TextBox 9"/>
        <xdr:cNvSpPr txBox="1"/>
      </xdr:nvSpPr>
      <xdr:spPr>
        <a:xfrm>
          <a:off x="14887576" y="20478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900">
              <a:ln>
                <a:noFill/>
              </a:ln>
            </a:rPr>
            <a:t>80</a:t>
          </a:r>
        </a:p>
      </xdr:txBody>
    </xdr:sp>
    <xdr:clientData/>
  </xdr:twoCellAnchor>
  <xdr:twoCellAnchor>
    <xdr:from>
      <xdr:col>45</xdr:col>
      <xdr:colOff>9525</xdr:colOff>
      <xdr:row>369</xdr:row>
      <xdr:rowOff>85725</xdr:rowOff>
    </xdr:from>
    <xdr:to>
      <xdr:col>45</xdr:col>
      <xdr:colOff>381000</xdr:colOff>
      <xdr:row>370</xdr:row>
      <xdr:rowOff>161925</xdr:rowOff>
    </xdr:to>
    <xdr:sp macro="" textlink="">
      <xdr:nvSpPr>
        <xdr:cNvPr id="11" name="TextBox 10"/>
        <xdr:cNvSpPr txBox="1"/>
      </xdr:nvSpPr>
      <xdr:spPr>
        <a:xfrm>
          <a:off x="14878050" y="1247775"/>
          <a:ext cx="371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900">
              <a:ln>
                <a:noFill/>
              </a:ln>
            </a:rPr>
            <a:t>100</a:t>
          </a:r>
        </a:p>
      </xdr:txBody>
    </xdr:sp>
    <xdr:clientData/>
  </xdr:twoCellAnchor>
  <xdr:twoCellAnchor>
    <xdr:from>
      <xdr:col>45</xdr:col>
      <xdr:colOff>47626</xdr:colOff>
      <xdr:row>393</xdr:row>
      <xdr:rowOff>38100</xdr:rowOff>
    </xdr:from>
    <xdr:to>
      <xdr:col>45</xdr:col>
      <xdr:colOff>390526</xdr:colOff>
      <xdr:row>394</xdr:row>
      <xdr:rowOff>123825</xdr:rowOff>
    </xdr:to>
    <xdr:sp macro="" textlink="">
      <xdr:nvSpPr>
        <xdr:cNvPr id="12" name="TextBox 11"/>
        <xdr:cNvSpPr txBox="1"/>
      </xdr:nvSpPr>
      <xdr:spPr>
        <a:xfrm>
          <a:off x="14916151" y="5391150"/>
          <a:ext cx="342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900">
              <a:ln>
                <a:noFill/>
              </a:ln>
            </a:rPr>
            <a:t>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55499</xdr:colOff>
      <xdr:row>408</xdr:row>
      <xdr:rowOff>133351</xdr:rowOff>
    </xdr:from>
    <xdr:ext cx="6937540" cy="937629"/>
    <xdr:sp macro="" textlink="">
      <xdr:nvSpPr>
        <xdr:cNvPr id="2" name="Rectangle 1"/>
        <xdr:cNvSpPr/>
      </xdr:nvSpPr>
      <xdr:spPr>
        <a:xfrm>
          <a:off x="522224" y="67513201"/>
          <a:ext cx="6937540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id-ID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edit data setiap spj !!!!!</a:t>
          </a:r>
          <a:endParaRPr lang="en-U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U-15/LAPORAN%20FISKEU/FEB-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EU-15/LAPORAN%20FISKEU/MAR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EU-15/LAPORAN%20FISKEU/APR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EU-15/LAPORAN%20FISKEU/5_Progres%20MEI-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ANTOR/KEU-15/LAPORAN%20FISKEU/6_Progres%20JUNI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KANTOR/KEU-15/LAPORAN%20FISKEU/7_Progres%20JULI-1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A_2015/KEU-15/LAPORAN%20FISKEU/8_Progres%20AGT-1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A_2015/KEU-15/LAPORAN%20FISKEU/9_Progres%20SEPT-15_P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A_2015/KEU-15/LAPORAN%20FISKEU/10_Progres%20OKT-1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A_2015/KEU-15/LAPORAN%20FISKEU/11_Progres%20NOV-15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A_2014/KEU/Buku%20Pemban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Feb-15"/>
      <sheetName val="Terkontrak"/>
      <sheetName val="kurva S"/>
      <sheetName val="buku bantu-26.25"/>
      <sheetName val="Sheet10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>
        <row r="22">
          <cell r="AI22">
            <v>19931000</v>
          </cell>
        </row>
        <row r="85">
          <cell r="AI85">
            <v>0</v>
          </cell>
        </row>
        <row r="119">
          <cell r="AI119">
            <v>0</v>
          </cell>
        </row>
        <row r="159">
          <cell r="AI159">
            <v>0</v>
          </cell>
        </row>
        <row r="422">
          <cell r="AI42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Mar"/>
      <sheetName val="Terkontrak"/>
      <sheetName val="kurva S"/>
      <sheetName val="buku bantu-26.25"/>
      <sheetName val="Sheet10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 refreshError="1"/>
      <sheetData sheetId="1" refreshError="1"/>
      <sheetData sheetId="2" refreshError="1"/>
      <sheetData sheetId="3">
        <row r="22">
          <cell r="AI22">
            <v>16124000</v>
          </cell>
        </row>
        <row r="88">
          <cell r="AI88">
            <v>3240000</v>
          </cell>
        </row>
        <row r="122">
          <cell r="AI122">
            <v>14917000</v>
          </cell>
        </row>
        <row r="168">
          <cell r="AI168">
            <v>16784000</v>
          </cell>
        </row>
        <row r="431">
          <cell r="AI43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Apr"/>
      <sheetName val="Terkontrak"/>
      <sheetName val="kurva S"/>
      <sheetName val="buku bantu-26.25"/>
      <sheetName val="Sheet10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>
        <row r="22">
          <cell r="AI22">
            <v>29909000</v>
          </cell>
        </row>
        <row r="88">
          <cell r="AI88">
            <v>4750000</v>
          </cell>
        </row>
        <row r="122">
          <cell r="AI122">
            <v>7740000</v>
          </cell>
        </row>
        <row r="168">
          <cell r="AI168">
            <v>115423200</v>
          </cell>
        </row>
        <row r="427">
          <cell r="AI427">
            <v>3814500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Mei"/>
      <sheetName val="Terkontrak"/>
      <sheetName val="kurva S"/>
      <sheetName val="buku bantu-26.25"/>
      <sheetName val="Sheet10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>
        <row r="22">
          <cell r="AI22">
            <v>31473500</v>
          </cell>
        </row>
        <row r="88">
          <cell r="AI88">
            <v>0</v>
          </cell>
        </row>
        <row r="122">
          <cell r="AI122">
            <v>3800000</v>
          </cell>
        </row>
        <row r="168">
          <cell r="AI168">
            <v>21385000</v>
          </cell>
        </row>
        <row r="427">
          <cell r="AI427">
            <v>920000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Juni"/>
      <sheetName val="Terkontrak"/>
      <sheetName val="kurva S"/>
      <sheetName val="buku bantu-26.25"/>
      <sheetName val="Sheet10"/>
      <sheetName val="Korekg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 refreshError="1"/>
      <sheetData sheetId="1" refreshError="1"/>
      <sheetData sheetId="2" refreshError="1"/>
      <sheetData sheetId="3">
        <row r="22">
          <cell r="AI22">
            <v>5376000</v>
          </cell>
        </row>
        <row r="88">
          <cell r="AI88">
            <v>0</v>
          </cell>
        </row>
        <row r="122">
          <cell r="AI122">
            <v>9540000</v>
          </cell>
        </row>
        <row r="168">
          <cell r="AI168">
            <v>11572000</v>
          </cell>
        </row>
        <row r="427">
          <cell r="AI427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Juli"/>
      <sheetName val="Terkontrak"/>
      <sheetName val="kurva S"/>
      <sheetName val="buku bantu-26.25"/>
      <sheetName val="Sheet10"/>
      <sheetName val="Korekg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 refreshError="1"/>
      <sheetData sheetId="1" refreshError="1"/>
      <sheetData sheetId="2" refreshError="1"/>
      <sheetData sheetId="3">
        <row r="22">
          <cell r="AI22">
            <v>691889200</v>
          </cell>
        </row>
        <row r="87">
          <cell r="AI87">
            <v>1500000</v>
          </cell>
        </row>
        <row r="121">
          <cell r="AI121">
            <v>920616400</v>
          </cell>
        </row>
        <row r="167">
          <cell r="AI167">
            <v>56162000</v>
          </cell>
        </row>
        <row r="426">
          <cell r="AI426">
            <v>202924500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Agt"/>
      <sheetName val="Terkontrak"/>
      <sheetName val="kurva S"/>
      <sheetName val="buku bantu-26.25"/>
      <sheetName val="Data kontrak"/>
      <sheetName val="Korekg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>
        <row r="19">
          <cell r="AL19">
            <v>2867045500</v>
          </cell>
        </row>
        <row r="22">
          <cell r="AI22">
            <v>156889700</v>
          </cell>
        </row>
        <row r="87">
          <cell r="AI87">
            <v>6000000</v>
          </cell>
        </row>
        <row r="121">
          <cell r="AI121">
            <v>499848200</v>
          </cell>
        </row>
        <row r="167">
          <cell r="AI167">
            <v>8776300</v>
          </cell>
        </row>
        <row r="426">
          <cell r="AI426">
            <v>5740000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Sept-P"/>
      <sheetName val="Terkontrak"/>
      <sheetName val="kurva S"/>
      <sheetName val="buku bantu-26.25"/>
      <sheetName val="Data kontrak"/>
      <sheetName val="Korekg"/>
      <sheetName val="DPPA-2015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>
        <row r="22">
          <cell r="AI22">
            <v>70302000</v>
          </cell>
        </row>
        <row r="94">
          <cell r="AI94">
            <v>319095000</v>
          </cell>
        </row>
        <row r="132">
          <cell r="AI132">
            <v>0</v>
          </cell>
        </row>
        <row r="176">
          <cell r="AI176">
            <v>57021660</v>
          </cell>
        </row>
        <row r="390">
          <cell r="AI390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Okt"/>
      <sheetName val="Terkontrak"/>
      <sheetName val="kurva S"/>
      <sheetName val="buku bantu-26.25"/>
      <sheetName val="Data kontrak"/>
      <sheetName val="Korekg"/>
      <sheetName val="DPPA-2015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>
        <row r="22">
          <cell r="AI22">
            <v>1048273800</v>
          </cell>
        </row>
        <row r="132">
          <cell r="AI132">
            <v>811659450</v>
          </cell>
        </row>
        <row r="176">
          <cell r="AI176">
            <v>48748500</v>
          </cell>
        </row>
        <row r="390">
          <cell r="AI390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Cover"/>
      <sheetName val="Rekap-"/>
      <sheetName val="Nov"/>
      <sheetName val="Terkontrak"/>
      <sheetName val="kurva S"/>
      <sheetName val="buku bantu-26.25"/>
      <sheetName val="Data kontrak"/>
      <sheetName val="Korekg"/>
      <sheetName val="DPPA-2015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 refreshError="1"/>
      <sheetData sheetId="1" refreshError="1"/>
      <sheetData sheetId="2" refreshError="1"/>
      <sheetData sheetId="3">
        <row r="22">
          <cell r="AI22">
            <v>795076000</v>
          </cell>
        </row>
        <row r="94">
          <cell r="AI94">
            <v>62916300</v>
          </cell>
        </row>
        <row r="132">
          <cell r="AI132">
            <v>444040000</v>
          </cell>
        </row>
        <row r="176">
          <cell r="AI176">
            <v>268309600</v>
          </cell>
        </row>
        <row r="390">
          <cell r="AI390">
            <v>2155700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  <sheetName val="Pagu SDA"/>
      <sheetName val="Perincian24,01"/>
      <sheetName val="Perincian24.18"/>
      <sheetName val="Perincian26.01"/>
      <sheetName val="Perincian26.15"/>
      <sheetName val="Perincian26.25 "/>
      <sheetName val="Perincian28.06"/>
    </sheetNames>
    <sheetDataSet>
      <sheetData sheetId="0"/>
      <sheetData sheetId="1">
        <row r="222">
          <cell r="G222" t="str">
            <v>Kegiatan Dewan SDA</v>
          </cell>
          <cell r="AD222">
            <v>44697000</v>
          </cell>
        </row>
        <row r="223">
          <cell r="AD223">
            <v>15729000</v>
          </cell>
        </row>
        <row r="224">
          <cell r="AD224">
            <v>27706000</v>
          </cell>
        </row>
        <row r="225">
          <cell r="AD225">
            <v>23882000</v>
          </cell>
        </row>
        <row r="227">
          <cell r="AD227">
            <v>136460000</v>
          </cell>
        </row>
        <row r="228">
          <cell r="AD228">
            <v>19170000</v>
          </cell>
        </row>
        <row r="230">
          <cell r="AD230">
            <v>20170000</v>
          </cell>
        </row>
        <row r="231">
          <cell r="AD231">
            <v>19170000</v>
          </cell>
        </row>
        <row r="232">
          <cell r="AD232">
            <v>4170000</v>
          </cell>
        </row>
        <row r="233">
          <cell r="AD233">
            <v>10170000</v>
          </cell>
        </row>
        <row r="234">
          <cell r="AD234">
            <v>14070000</v>
          </cell>
        </row>
        <row r="235">
          <cell r="AD235">
            <v>32770000</v>
          </cell>
        </row>
        <row r="237">
          <cell r="AD237">
            <v>8244000</v>
          </cell>
        </row>
        <row r="238">
          <cell r="AD238">
            <v>3020000</v>
          </cell>
        </row>
        <row r="241">
          <cell r="AD241">
            <v>1980000</v>
          </cell>
        </row>
        <row r="243">
          <cell r="AD243">
            <v>1980000</v>
          </cell>
        </row>
        <row r="245">
          <cell r="AD245">
            <v>2700000</v>
          </cell>
        </row>
        <row r="250">
          <cell r="AD250">
            <v>184387600</v>
          </cell>
        </row>
      </sheetData>
      <sheetData sheetId="2"/>
      <sheetData sheetId="3"/>
      <sheetData sheetId="4"/>
      <sheetData sheetId="5"/>
      <sheetData sheetId="6">
        <row r="183">
          <cell r="B183" t="str">
            <v>- ATK op keg. Dewan &amp; Komir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AS373"/>
  <sheetViews>
    <sheetView view="pageBreakPreview" topLeftCell="D1" zoomScale="80" zoomScaleNormal="85" zoomScaleSheetLayoutView="80" workbookViewId="0">
      <selection activeCell="AD13" sqref="AD13"/>
    </sheetView>
  </sheetViews>
  <sheetFormatPr defaultRowHeight="13.2" x14ac:dyDescent="0.25"/>
  <cols>
    <col min="1" max="1" width="2.44140625" customWidth="1"/>
    <col min="2" max="3" width="2.33203125" customWidth="1"/>
    <col min="4" max="4" width="3" customWidth="1"/>
    <col min="5" max="5" width="2.88671875" customWidth="1"/>
    <col min="6" max="6" width="2.5546875" customWidth="1"/>
    <col min="7" max="7" width="2.88671875" customWidth="1"/>
    <col min="8" max="8" width="2.109375" customWidth="1"/>
    <col min="9" max="27" width="2.88671875" customWidth="1"/>
    <col min="28" max="28" width="4.109375" customWidth="1"/>
    <col min="29" max="29" width="8.44140625" customWidth="1"/>
    <col min="30" max="30" width="20" customWidth="1"/>
    <col min="31" max="31" width="8.44140625" customWidth="1"/>
    <col min="32" max="32" width="12.33203125" customWidth="1"/>
    <col min="33" max="36" width="13.33203125" customWidth="1"/>
    <col min="37" max="37" width="14.88671875" customWidth="1"/>
    <col min="38" max="38" width="16.33203125" customWidth="1"/>
    <col min="39" max="39" width="15.33203125" customWidth="1"/>
    <col min="40" max="40" width="13.88671875" customWidth="1"/>
    <col min="41" max="41" width="13.6640625" customWidth="1"/>
    <col min="42" max="42" width="13.44140625" customWidth="1"/>
    <col min="43" max="43" width="15.44140625" customWidth="1"/>
    <col min="44" max="44" width="1.33203125" customWidth="1"/>
    <col min="45" max="45" width="14.44140625" customWidth="1"/>
  </cols>
  <sheetData>
    <row r="1" spans="1:43" ht="24.6" x14ac:dyDescent="0.25">
      <c r="A1" s="1011" t="s">
        <v>319</v>
      </c>
      <c r="B1" s="1012"/>
      <c r="C1" s="1012"/>
      <c r="D1" s="1012"/>
      <c r="E1" s="1012"/>
      <c r="F1" s="1012"/>
      <c r="G1" s="1012"/>
      <c r="H1" s="1012"/>
      <c r="I1" s="1012"/>
      <c r="J1" s="1012"/>
      <c r="K1" s="1012"/>
      <c r="L1" s="1012"/>
      <c r="M1" s="1012"/>
      <c r="N1" s="1012"/>
      <c r="O1" s="1012"/>
      <c r="P1" s="1012"/>
      <c r="Q1" s="1012"/>
      <c r="R1" s="1012"/>
      <c r="S1" s="1012"/>
      <c r="T1" s="1012"/>
      <c r="U1" s="1012"/>
      <c r="V1" s="1012"/>
      <c r="W1" s="1012"/>
      <c r="X1" s="1012"/>
      <c r="Y1" s="1012"/>
      <c r="Z1" s="1012"/>
      <c r="AA1" s="1012"/>
      <c r="AB1" s="1012"/>
      <c r="AC1" s="1012"/>
      <c r="AD1" s="1012"/>
      <c r="AE1" s="1012"/>
      <c r="AF1" s="1012"/>
      <c r="AG1" s="1012"/>
      <c r="AH1" s="1012"/>
      <c r="AI1" s="1012"/>
      <c r="AJ1" s="1012"/>
      <c r="AK1" s="1012"/>
      <c r="AL1" s="1012"/>
      <c r="AM1" s="1012"/>
      <c r="AN1" s="1012"/>
      <c r="AO1" s="1012"/>
      <c r="AP1" s="1012"/>
      <c r="AQ1" s="1013"/>
    </row>
    <row r="2" spans="1:43" ht="15.6" x14ac:dyDescent="0.25">
      <c r="A2" s="25" t="s">
        <v>22</v>
      </c>
      <c r="B2" s="4" t="s">
        <v>23</v>
      </c>
      <c r="C2" s="4"/>
      <c r="D2" s="4"/>
      <c r="E2" s="4"/>
      <c r="F2" s="8"/>
      <c r="G2" s="26"/>
      <c r="H2" s="72"/>
      <c r="I2" s="8"/>
      <c r="J2" s="8" t="s">
        <v>24</v>
      </c>
      <c r="K2" s="26" t="s">
        <v>64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72"/>
      <c r="Y2" s="72"/>
      <c r="Z2" s="72"/>
      <c r="AA2" s="72"/>
      <c r="AB2" s="26"/>
      <c r="AC2" s="72"/>
      <c r="AD2" s="2"/>
      <c r="AE2" s="6"/>
      <c r="AF2" s="1"/>
      <c r="AG2" s="37"/>
      <c r="AH2" s="37"/>
      <c r="AI2" s="1"/>
      <c r="AJ2" s="37"/>
      <c r="AK2" s="37"/>
      <c r="AL2" s="1"/>
      <c r="AM2" s="37"/>
      <c r="AN2" s="37"/>
      <c r="AO2" s="3"/>
      <c r="AP2" s="3"/>
      <c r="AQ2" s="12"/>
    </row>
    <row r="3" spans="1:43" ht="15.6" x14ac:dyDescent="0.25">
      <c r="A3" s="25" t="s">
        <v>25</v>
      </c>
      <c r="B3" s="4" t="s">
        <v>6</v>
      </c>
      <c r="C3" s="4"/>
      <c r="D3" s="4"/>
      <c r="E3" s="4"/>
      <c r="F3" s="8"/>
      <c r="G3" s="26"/>
      <c r="H3" s="72"/>
      <c r="I3" s="8"/>
      <c r="J3" s="8" t="s">
        <v>24</v>
      </c>
      <c r="K3" s="26" t="s">
        <v>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72"/>
      <c r="Y3" s="72"/>
      <c r="Z3" s="72"/>
      <c r="AA3" s="72"/>
      <c r="AB3" s="26"/>
      <c r="AC3" s="72"/>
      <c r="AD3" s="2"/>
      <c r="AE3" s="6"/>
      <c r="AF3" s="1"/>
      <c r="AG3" s="37"/>
      <c r="AH3" s="37"/>
      <c r="AI3" s="76"/>
      <c r="AJ3" s="37"/>
      <c r="AK3" s="37"/>
      <c r="AL3" s="1"/>
      <c r="AM3" s="77"/>
      <c r="AN3" s="37"/>
      <c r="AO3" s="3"/>
      <c r="AP3" s="3"/>
      <c r="AQ3" s="12"/>
    </row>
    <row r="4" spans="1:43" ht="15.6" x14ac:dyDescent="0.25">
      <c r="A4" s="25" t="s">
        <v>26</v>
      </c>
      <c r="B4" s="4" t="s">
        <v>8</v>
      </c>
      <c r="C4" s="4"/>
      <c r="D4" s="4"/>
      <c r="E4" s="4"/>
      <c r="F4" s="8"/>
      <c r="G4" s="26"/>
      <c r="H4" s="72"/>
      <c r="I4" s="8"/>
      <c r="J4" s="8" t="s">
        <v>24</v>
      </c>
      <c r="K4" s="26" t="s">
        <v>31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72"/>
      <c r="Y4" s="72"/>
      <c r="Z4" s="72"/>
      <c r="AA4" s="72"/>
      <c r="AB4" s="26"/>
      <c r="AC4" s="72"/>
      <c r="AD4" s="2"/>
      <c r="AE4" s="6"/>
      <c r="AF4" s="1"/>
      <c r="AG4" s="37"/>
      <c r="AH4" s="37"/>
      <c r="AI4" s="114" t="s">
        <v>33</v>
      </c>
      <c r="AJ4" s="37"/>
      <c r="AK4" s="37"/>
      <c r="AL4" s="1"/>
      <c r="AM4" s="77"/>
      <c r="AN4" s="37"/>
      <c r="AO4" s="3"/>
      <c r="AP4" s="3"/>
      <c r="AQ4" s="12"/>
    </row>
    <row r="5" spans="1:43" ht="15.6" x14ac:dyDescent="0.25">
      <c r="A5" s="25" t="s">
        <v>27</v>
      </c>
      <c r="B5" s="4" t="s">
        <v>9</v>
      </c>
      <c r="C5" s="4"/>
      <c r="D5" s="4"/>
      <c r="E5" s="4"/>
      <c r="F5" s="8"/>
      <c r="G5" s="5"/>
      <c r="H5" s="72"/>
      <c r="I5" s="8"/>
      <c r="J5" s="8" t="s">
        <v>24</v>
      </c>
      <c r="K5" s="5" t="s">
        <v>65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72"/>
      <c r="Y5" s="72"/>
      <c r="Z5" s="72"/>
      <c r="AA5" s="72"/>
      <c r="AB5" s="5"/>
      <c r="AC5" s="72"/>
      <c r="AD5" s="2"/>
      <c r="AE5" s="6"/>
      <c r="AF5" s="1"/>
      <c r="AG5" s="37"/>
      <c r="AH5" s="37"/>
      <c r="AI5" s="1"/>
      <c r="AJ5" s="37"/>
      <c r="AK5" s="37"/>
      <c r="AL5" s="1"/>
      <c r="AM5" s="77" t="s">
        <v>320</v>
      </c>
      <c r="AN5" s="37" t="s">
        <v>321</v>
      </c>
      <c r="AO5" s="3"/>
      <c r="AP5" s="3"/>
      <c r="AQ5" s="267"/>
    </row>
    <row r="6" spans="1:43" x14ac:dyDescent="0.25">
      <c r="A6" s="25" t="s">
        <v>15</v>
      </c>
      <c r="B6" s="10" t="s">
        <v>14</v>
      </c>
      <c r="C6" s="4"/>
      <c r="D6" s="5"/>
      <c r="E6" s="4"/>
      <c r="F6" s="8"/>
      <c r="G6" s="9"/>
      <c r="H6" s="72"/>
      <c r="I6" s="8"/>
      <c r="J6" s="8" t="s">
        <v>24</v>
      </c>
      <c r="K6" s="1014">
        <f>+AD13</f>
        <v>13194994750</v>
      </c>
      <c r="L6" s="1014"/>
      <c r="M6" s="1014"/>
      <c r="N6" s="1014"/>
      <c r="O6" s="1014"/>
      <c r="P6" s="1014"/>
      <c r="Q6" s="1014"/>
      <c r="R6" s="8"/>
      <c r="S6" s="8"/>
      <c r="T6" s="8"/>
      <c r="U6" s="8"/>
      <c r="V6" s="8"/>
      <c r="W6" s="8"/>
      <c r="X6" s="72"/>
      <c r="Y6" s="72"/>
      <c r="Z6" s="72"/>
      <c r="AA6" s="72"/>
      <c r="AB6" s="72"/>
      <c r="AC6" s="72"/>
      <c r="AD6" s="1"/>
      <c r="AE6" s="7"/>
      <c r="AF6" s="1"/>
      <c r="AG6" s="37"/>
      <c r="AH6" s="37"/>
      <c r="AI6" s="1"/>
      <c r="AJ6" s="37"/>
      <c r="AK6" s="37"/>
      <c r="AL6" s="1"/>
      <c r="AM6" s="77" t="s">
        <v>322</v>
      </c>
      <c r="AN6" s="37" t="s">
        <v>323</v>
      </c>
      <c r="AO6" s="118"/>
      <c r="AP6" s="118"/>
      <c r="AQ6" s="41"/>
    </row>
    <row r="7" spans="1:43" ht="13.8" thickBot="1" x14ac:dyDescent="0.3">
      <c r="A7" s="13"/>
      <c r="B7" s="78"/>
      <c r="C7" s="14"/>
      <c r="D7" s="15"/>
      <c r="E7" s="14"/>
      <c r="F7" s="79"/>
      <c r="G7" s="11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11"/>
      <c r="AE7" s="16"/>
      <c r="AF7" s="11"/>
      <c r="AG7" s="38"/>
      <c r="AH7" s="38"/>
      <c r="AI7" s="11"/>
      <c r="AJ7" s="38"/>
      <c r="AK7" s="38"/>
      <c r="AL7" s="11"/>
      <c r="AM7" s="77"/>
      <c r="AN7" s="385"/>
      <c r="AO7" s="385"/>
      <c r="AP7" s="385"/>
      <c r="AQ7" s="386"/>
    </row>
    <row r="8" spans="1:43" x14ac:dyDescent="0.25">
      <c r="A8" s="1015" t="s">
        <v>19</v>
      </c>
      <c r="B8" s="1016"/>
      <c r="C8" s="1016"/>
      <c r="D8" s="1016"/>
      <c r="E8" s="1017"/>
      <c r="F8" s="1018" t="s">
        <v>13</v>
      </c>
      <c r="G8" s="1016"/>
      <c r="H8" s="1016"/>
      <c r="I8" s="1016"/>
      <c r="J8" s="1016"/>
      <c r="K8" s="1016"/>
      <c r="L8" s="1016"/>
      <c r="M8" s="1016"/>
      <c r="N8" s="1016"/>
      <c r="O8" s="1016"/>
      <c r="P8" s="1016"/>
      <c r="Q8" s="1016"/>
      <c r="R8" s="1016"/>
      <c r="S8" s="1016"/>
      <c r="T8" s="1016"/>
      <c r="U8" s="1016"/>
      <c r="V8" s="1016"/>
      <c r="W8" s="1016"/>
      <c r="X8" s="1016"/>
      <c r="Y8" s="1016"/>
      <c r="Z8" s="1016"/>
      <c r="AA8" s="1016"/>
      <c r="AB8" s="1016"/>
      <c r="AC8" s="1017"/>
      <c r="AD8" s="20" t="s">
        <v>3</v>
      </c>
      <c r="AE8" s="1021" t="s">
        <v>20</v>
      </c>
      <c r="AF8" s="985" t="s">
        <v>78</v>
      </c>
      <c r="AG8" s="986"/>
      <c r="AH8" s="986"/>
      <c r="AI8" s="986"/>
      <c r="AJ8" s="986"/>
      <c r="AK8" s="986"/>
      <c r="AL8" s="986"/>
      <c r="AM8" s="986"/>
      <c r="AN8" s="986"/>
      <c r="AO8" s="986"/>
      <c r="AP8" s="986"/>
      <c r="AQ8" s="987"/>
    </row>
    <row r="9" spans="1:43" x14ac:dyDescent="0.25">
      <c r="A9" s="988" t="s">
        <v>1</v>
      </c>
      <c r="B9" s="989"/>
      <c r="C9" s="989"/>
      <c r="D9" s="989"/>
      <c r="E9" s="990"/>
      <c r="F9" s="1019"/>
      <c r="G9" s="989"/>
      <c r="H9" s="989"/>
      <c r="I9" s="989"/>
      <c r="J9" s="989"/>
      <c r="K9" s="989"/>
      <c r="L9" s="989"/>
      <c r="M9" s="989"/>
      <c r="N9" s="989"/>
      <c r="O9" s="989"/>
      <c r="P9" s="989"/>
      <c r="Q9" s="989"/>
      <c r="R9" s="989"/>
      <c r="S9" s="989"/>
      <c r="T9" s="989"/>
      <c r="U9" s="989"/>
      <c r="V9" s="989"/>
      <c r="W9" s="989"/>
      <c r="X9" s="989"/>
      <c r="Y9" s="989"/>
      <c r="Z9" s="989"/>
      <c r="AA9" s="989"/>
      <c r="AB9" s="989"/>
      <c r="AC9" s="990"/>
      <c r="AD9" s="21" t="s">
        <v>28</v>
      </c>
      <c r="AE9" s="1022"/>
      <c r="AF9" s="121" t="s">
        <v>66</v>
      </c>
      <c r="AG9" s="24" t="s">
        <v>67</v>
      </c>
      <c r="AH9" s="24" t="s">
        <v>68</v>
      </c>
      <c r="AI9" s="24" t="s">
        <v>69</v>
      </c>
      <c r="AJ9" s="24" t="s">
        <v>70</v>
      </c>
      <c r="AK9" s="24" t="s">
        <v>71</v>
      </c>
      <c r="AL9" s="24" t="s">
        <v>72</v>
      </c>
      <c r="AM9" s="24" t="s">
        <v>73</v>
      </c>
      <c r="AN9" s="24" t="s">
        <v>74</v>
      </c>
      <c r="AO9" s="24" t="s">
        <v>75</v>
      </c>
      <c r="AP9" s="24" t="s">
        <v>76</v>
      </c>
      <c r="AQ9" s="438" t="s">
        <v>77</v>
      </c>
    </row>
    <row r="10" spans="1:43" ht="13.8" thickBot="1" x14ac:dyDescent="0.3">
      <c r="A10" s="991" t="s">
        <v>2</v>
      </c>
      <c r="B10" s="992"/>
      <c r="C10" s="992"/>
      <c r="D10" s="992"/>
      <c r="E10" s="993"/>
      <c r="F10" s="1020"/>
      <c r="G10" s="992"/>
      <c r="H10" s="992"/>
      <c r="I10" s="992"/>
      <c r="J10" s="992"/>
      <c r="K10" s="992"/>
      <c r="L10" s="992"/>
      <c r="M10" s="992"/>
      <c r="N10" s="992"/>
      <c r="O10" s="992"/>
      <c r="P10" s="992"/>
      <c r="Q10" s="992"/>
      <c r="R10" s="992"/>
      <c r="S10" s="992"/>
      <c r="T10" s="992"/>
      <c r="U10" s="992"/>
      <c r="V10" s="992"/>
      <c r="W10" s="992"/>
      <c r="X10" s="992"/>
      <c r="Y10" s="992"/>
      <c r="Z10" s="992"/>
      <c r="AA10" s="992"/>
      <c r="AB10" s="992"/>
      <c r="AC10" s="993"/>
      <c r="AD10" s="22" t="s">
        <v>4</v>
      </c>
      <c r="AE10" s="23" t="s">
        <v>21</v>
      </c>
      <c r="AF10" s="119"/>
      <c r="AG10" s="39"/>
      <c r="AH10" s="39"/>
      <c r="AI10" s="29"/>
      <c r="AJ10" s="39"/>
      <c r="AK10" s="39"/>
      <c r="AL10" s="29"/>
      <c r="AM10" s="39"/>
      <c r="AN10" s="39"/>
      <c r="AO10" s="120"/>
      <c r="AP10" s="120"/>
      <c r="AQ10" s="268"/>
    </row>
    <row r="11" spans="1:43" x14ac:dyDescent="0.25">
      <c r="A11" s="994">
        <v>1</v>
      </c>
      <c r="B11" s="995"/>
      <c r="C11" s="995"/>
      <c r="D11" s="995"/>
      <c r="E11" s="995"/>
      <c r="F11" s="996">
        <v>2</v>
      </c>
      <c r="G11" s="997"/>
      <c r="H11" s="997"/>
      <c r="I11" s="997"/>
      <c r="J11" s="997"/>
      <c r="K11" s="997"/>
      <c r="L11" s="997"/>
      <c r="M11" s="997"/>
      <c r="N11" s="997"/>
      <c r="O11" s="997"/>
      <c r="P11" s="997"/>
      <c r="Q11" s="997"/>
      <c r="R11" s="997"/>
      <c r="S11" s="997"/>
      <c r="T11" s="997"/>
      <c r="U11" s="997"/>
      <c r="V11" s="997"/>
      <c r="W11" s="997"/>
      <c r="X11" s="997"/>
      <c r="Y11" s="997"/>
      <c r="Z11" s="997"/>
      <c r="AA11" s="997"/>
      <c r="AB11" s="997"/>
      <c r="AC11" s="998"/>
      <c r="AD11" s="17">
        <v>3</v>
      </c>
      <c r="AE11" s="18" t="s">
        <v>29</v>
      </c>
      <c r="AF11" s="175">
        <f>+AD11+1</f>
        <v>4</v>
      </c>
      <c r="AG11" s="175">
        <f>+AE11+1</f>
        <v>5</v>
      </c>
      <c r="AH11" s="175">
        <f>+AG11+1</f>
        <v>6</v>
      </c>
      <c r="AI11" s="175">
        <f t="shared" ref="AI11:AQ11" si="0">+AH11+1</f>
        <v>7</v>
      </c>
      <c r="AJ11" s="175">
        <f t="shared" si="0"/>
        <v>8</v>
      </c>
      <c r="AK11" s="175">
        <f t="shared" si="0"/>
        <v>9</v>
      </c>
      <c r="AL11" s="175">
        <f t="shared" si="0"/>
        <v>10</v>
      </c>
      <c r="AM11" s="175">
        <f t="shared" si="0"/>
        <v>11</v>
      </c>
      <c r="AN11" s="175">
        <f t="shared" si="0"/>
        <v>12</v>
      </c>
      <c r="AO11" s="175">
        <f t="shared" si="0"/>
        <v>13</v>
      </c>
      <c r="AP11" s="175">
        <f t="shared" si="0"/>
        <v>14</v>
      </c>
      <c r="AQ11" s="269">
        <f t="shared" si="0"/>
        <v>15</v>
      </c>
    </row>
    <row r="12" spans="1:43" ht="20.399999999999999" x14ac:dyDescent="0.35">
      <c r="A12" s="999" t="s">
        <v>33</v>
      </c>
      <c r="B12" s="1000"/>
      <c r="C12" s="1000"/>
      <c r="D12" s="1000"/>
      <c r="E12" s="100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28" t="e">
        <f>+#REF!</f>
        <v>#REF!</v>
      </c>
      <c r="AE12" s="30"/>
      <c r="AF12" s="178"/>
      <c r="AG12" s="178"/>
      <c r="AH12" s="178"/>
      <c r="AI12" s="178"/>
      <c r="AJ12" s="178"/>
      <c r="AK12" s="178"/>
      <c r="AL12" s="178"/>
      <c r="AM12" s="179"/>
      <c r="AN12" s="178"/>
      <c r="AO12" s="179"/>
      <c r="AP12" s="179"/>
      <c r="AQ12" s="270"/>
    </row>
    <row r="13" spans="1:43" ht="13.8" x14ac:dyDescent="0.25">
      <c r="A13" s="1002" t="s">
        <v>140</v>
      </c>
      <c r="B13" s="1003"/>
      <c r="C13" s="1003"/>
      <c r="D13" s="1003"/>
      <c r="E13" s="1003"/>
      <c r="F13" s="1003"/>
      <c r="G13" s="1003"/>
      <c r="H13" s="1003"/>
      <c r="I13" s="1003"/>
      <c r="J13" s="1003"/>
      <c r="K13" s="1003"/>
      <c r="L13" s="1003"/>
      <c r="M13" s="1003"/>
      <c r="N13" s="1003"/>
      <c r="O13" s="1003"/>
      <c r="P13" s="1003"/>
      <c r="Q13" s="1003"/>
      <c r="R13" s="1003"/>
      <c r="S13" s="1003"/>
      <c r="T13" s="1003"/>
      <c r="U13" s="1003"/>
      <c r="V13" s="1003"/>
      <c r="W13" s="1003"/>
      <c r="X13" s="1003"/>
      <c r="Y13" s="1003"/>
      <c r="Z13" s="1003"/>
      <c r="AA13" s="1003"/>
      <c r="AB13" s="1003"/>
      <c r="AC13" s="1004"/>
      <c r="AD13" s="61">
        <f>+AD16+AD87+AD137+AD184+AD216+AD324</f>
        <v>13194994750</v>
      </c>
      <c r="AE13" s="63">
        <f>(AD13/AD$13)*100</f>
        <v>100</v>
      </c>
      <c r="AF13" s="180"/>
      <c r="AG13" s="180"/>
      <c r="AH13" s="180"/>
      <c r="AI13" s="180"/>
      <c r="AJ13" s="180"/>
      <c r="AK13" s="181"/>
      <c r="AL13" s="180"/>
      <c r="AM13" s="182"/>
      <c r="AN13" s="182"/>
      <c r="AO13" s="182"/>
      <c r="AP13" s="182"/>
      <c r="AQ13" s="271"/>
    </row>
    <row r="14" spans="1:43" x14ac:dyDescent="0.25">
      <c r="A14" s="328" t="s">
        <v>207</v>
      </c>
      <c r="B14" s="390"/>
      <c r="C14" s="391"/>
      <c r="D14" s="392"/>
      <c r="E14" s="393"/>
      <c r="F14" s="67"/>
      <c r="G14" s="80"/>
      <c r="H14" s="1005" t="s">
        <v>208</v>
      </c>
      <c r="I14" s="1005"/>
      <c r="J14" s="1005"/>
      <c r="K14" s="1005"/>
      <c r="L14" s="1005"/>
      <c r="M14" s="1005"/>
      <c r="N14" s="1005"/>
      <c r="O14" s="1005"/>
      <c r="P14" s="1005"/>
      <c r="Q14" s="1005"/>
      <c r="R14" s="1005"/>
      <c r="S14" s="1005"/>
      <c r="T14" s="1005"/>
      <c r="U14" s="1005"/>
      <c r="V14" s="1005"/>
      <c r="W14" s="1005"/>
      <c r="X14" s="1005"/>
      <c r="Y14" s="1005"/>
      <c r="Z14" s="1005"/>
      <c r="AA14" s="1005"/>
      <c r="AB14" s="1005"/>
      <c r="AC14" s="31"/>
      <c r="AD14" s="68">
        <f>+AD16+AD87</f>
        <v>6158927000</v>
      </c>
      <c r="AE14" s="63">
        <f>(AD14/AD$13)*100</f>
        <v>46.67623683594114</v>
      </c>
      <c r="AF14" s="183"/>
      <c r="AG14" s="184"/>
      <c r="AH14" s="185"/>
      <c r="AI14" s="185"/>
      <c r="AJ14" s="184"/>
      <c r="AK14" s="185"/>
      <c r="AL14" s="185"/>
      <c r="AM14" s="183"/>
      <c r="AN14" s="185"/>
      <c r="AO14" s="185"/>
      <c r="AP14" s="185"/>
      <c r="AQ14" s="272"/>
    </row>
    <row r="15" spans="1:43" ht="12.75" customHeight="1" x14ac:dyDescent="0.25">
      <c r="A15" s="328"/>
      <c r="B15" s="390"/>
      <c r="C15" s="391"/>
      <c r="D15" s="392"/>
      <c r="E15" s="393"/>
      <c r="F15" s="67"/>
      <c r="G15" s="80"/>
      <c r="H15" s="1006"/>
      <c r="I15" s="1006"/>
      <c r="J15" s="1006"/>
      <c r="K15" s="1006"/>
      <c r="L15" s="1006"/>
      <c r="M15" s="1006"/>
      <c r="N15" s="1006"/>
      <c r="O15" s="1006"/>
      <c r="P15" s="1006"/>
      <c r="Q15" s="1006"/>
      <c r="R15" s="1006"/>
      <c r="S15" s="1006"/>
      <c r="T15" s="1006"/>
      <c r="U15" s="1006"/>
      <c r="V15" s="1006"/>
      <c r="W15" s="1006"/>
      <c r="X15" s="1006"/>
      <c r="Y15" s="1006"/>
      <c r="Z15" s="1006"/>
      <c r="AA15" s="1006"/>
      <c r="AB15" s="1006"/>
      <c r="AC15" s="31"/>
      <c r="AD15" s="81"/>
      <c r="AE15" s="128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273"/>
    </row>
    <row r="16" spans="1:43" x14ac:dyDescent="0.25">
      <c r="A16" s="329" t="s">
        <v>209</v>
      </c>
      <c r="B16" s="394"/>
      <c r="C16" s="395"/>
      <c r="D16" s="396"/>
      <c r="E16" s="397"/>
      <c r="F16" s="143"/>
      <c r="G16" s="144"/>
      <c r="H16" s="135" t="s">
        <v>210</v>
      </c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6"/>
      <c r="AD16" s="145">
        <f>AD18+AD31</f>
        <v>2948606000</v>
      </c>
      <c r="AE16" s="63">
        <f>(AD16/AD$13)*100</f>
        <v>22.346397674769822</v>
      </c>
      <c r="AF16" s="185"/>
      <c r="AG16" s="184"/>
      <c r="AH16" s="184"/>
      <c r="AI16" s="185"/>
      <c r="AJ16" s="184"/>
      <c r="AK16" s="186"/>
      <c r="AL16" s="186"/>
      <c r="AM16" s="185"/>
      <c r="AN16" s="185"/>
      <c r="AO16" s="185"/>
      <c r="AP16" s="185"/>
      <c r="AQ16" s="272"/>
    </row>
    <row r="17" spans="1:43" x14ac:dyDescent="0.25">
      <c r="A17" s="328">
        <v>5</v>
      </c>
      <c r="B17" s="390">
        <v>2</v>
      </c>
      <c r="C17" s="391"/>
      <c r="D17" s="392"/>
      <c r="E17" s="393"/>
      <c r="F17" s="322" t="s">
        <v>55</v>
      </c>
      <c r="G17" s="8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31"/>
      <c r="AD17" s="68"/>
      <c r="AE17" s="127"/>
      <c r="AF17" s="185"/>
      <c r="AG17" s="184"/>
      <c r="AH17" s="185"/>
      <c r="AI17" s="185"/>
      <c r="AJ17" s="184"/>
      <c r="AK17" s="185"/>
      <c r="AL17" s="186"/>
      <c r="AM17" s="183"/>
      <c r="AN17" s="185"/>
      <c r="AO17" s="185"/>
      <c r="AP17" s="185"/>
      <c r="AQ17" s="272"/>
    </row>
    <row r="18" spans="1:43" x14ac:dyDescent="0.25">
      <c r="A18" s="398">
        <v>5</v>
      </c>
      <c r="B18" s="399">
        <v>2</v>
      </c>
      <c r="C18" s="399">
        <v>1</v>
      </c>
      <c r="D18" s="332"/>
      <c r="E18" s="400"/>
      <c r="F18" s="44" t="s">
        <v>58</v>
      </c>
      <c r="G18" s="45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19"/>
      <c r="AC18" s="31"/>
      <c r="AD18" s="34">
        <f>+AD19</f>
        <v>89154000</v>
      </c>
      <c r="AE18" s="63">
        <f>(AD18/AD$13)*100</f>
        <v>0.67566529346288673</v>
      </c>
      <c r="AF18" s="186"/>
      <c r="AG18" s="184"/>
      <c r="AH18" s="184"/>
      <c r="AI18" s="186"/>
      <c r="AJ18" s="187"/>
      <c r="AK18" s="188"/>
      <c r="AL18" s="186"/>
      <c r="AM18" s="185"/>
      <c r="AN18" s="185"/>
      <c r="AO18" s="185"/>
      <c r="AP18" s="185"/>
      <c r="AQ18" s="272"/>
    </row>
    <row r="19" spans="1:43" x14ac:dyDescent="0.25">
      <c r="A19" s="398">
        <v>5</v>
      </c>
      <c r="B19" s="399">
        <v>2</v>
      </c>
      <c r="C19" s="399">
        <v>1</v>
      </c>
      <c r="D19" s="401" t="s">
        <v>5</v>
      </c>
      <c r="E19" s="400"/>
      <c r="F19" s="44" t="s">
        <v>0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19"/>
      <c r="AC19" s="31"/>
      <c r="AD19" s="34">
        <f>+AD20+AD24+AD27</f>
        <v>89154000</v>
      </c>
      <c r="AE19" s="63">
        <f>(AD19/AD$13)*100</f>
        <v>0.67566529346288673</v>
      </c>
      <c r="AF19" s="186"/>
      <c r="AG19" s="184"/>
      <c r="AH19" s="184"/>
      <c r="AI19" s="186"/>
      <c r="AJ19" s="184"/>
      <c r="AK19" s="188"/>
      <c r="AL19" s="186"/>
      <c r="AM19" s="185"/>
      <c r="AN19" s="185"/>
      <c r="AO19" s="185"/>
      <c r="AP19" s="185"/>
      <c r="AQ19" s="272"/>
    </row>
    <row r="20" spans="1:43" x14ac:dyDescent="0.25">
      <c r="A20" s="402">
        <v>5</v>
      </c>
      <c r="B20" s="332">
        <v>2</v>
      </c>
      <c r="C20" s="332">
        <v>1</v>
      </c>
      <c r="D20" s="333" t="s">
        <v>5</v>
      </c>
      <c r="E20" s="403" t="s">
        <v>5</v>
      </c>
      <c r="F20" s="73" t="s">
        <v>46</v>
      </c>
      <c r="G20" s="75"/>
      <c r="H20" s="7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42"/>
      <c r="AC20" s="43"/>
      <c r="AD20" s="74">
        <f>+AD21+AD22</f>
        <v>59154000</v>
      </c>
      <c r="AE20" s="63">
        <f>(AD20/AD$13)*100</f>
        <v>0.44830635495326743</v>
      </c>
      <c r="AF20" s="186"/>
      <c r="AG20" s="184"/>
      <c r="AH20" s="184"/>
      <c r="AI20" s="186"/>
      <c r="AJ20" s="189"/>
      <c r="AK20" s="186"/>
      <c r="AL20" s="186"/>
      <c r="AM20" s="185"/>
      <c r="AN20" s="185"/>
      <c r="AO20" s="185"/>
      <c r="AP20" s="185"/>
      <c r="AQ20" s="272"/>
    </row>
    <row r="21" spans="1:43" x14ac:dyDescent="0.25">
      <c r="A21" s="398"/>
      <c r="B21" s="399"/>
      <c r="C21" s="399"/>
      <c r="D21" s="401"/>
      <c r="E21" s="400"/>
      <c r="F21" s="73" t="s">
        <v>79</v>
      </c>
      <c r="G21" s="45"/>
      <c r="H21" s="45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19"/>
      <c r="AC21" s="31"/>
      <c r="AD21" s="74">
        <v>47154000</v>
      </c>
      <c r="AE21" s="63">
        <f>(AD21/AD$13)*100</f>
        <v>0.3573627795494197</v>
      </c>
      <c r="AF21" s="188"/>
      <c r="AG21" s="190"/>
      <c r="AH21" s="190"/>
      <c r="AI21" s="188"/>
      <c r="AJ21" s="189">
        <f>+AD21/2</f>
        <v>23577000</v>
      </c>
      <c r="AK21" s="188"/>
      <c r="AL21" s="188">
        <f>+AJ21</f>
        <v>23577000</v>
      </c>
      <c r="AM21" s="183"/>
      <c r="AN21" s="183"/>
      <c r="AO21" s="183"/>
      <c r="AP21" s="183"/>
      <c r="AQ21" s="273"/>
    </row>
    <row r="22" spans="1:43" x14ac:dyDescent="0.25">
      <c r="A22" s="398"/>
      <c r="B22" s="399"/>
      <c r="C22" s="399"/>
      <c r="D22" s="401"/>
      <c r="E22" s="400"/>
      <c r="F22" s="73" t="s">
        <v>270</v>
      </c>
      <c r="G22" s="45"/>
      <c r="H22" s="45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19"/>
      <c r="AC22" s="31"/>
      <c r="AD22" s="74">
        <v>12000000</v>
      </c>
      <c r="AE22" s="63">
        <f>(AD22/AD$13)*100</f>
        <v>9.0943575403847732E-2</v>
      </c>
      <c r="AF22" s="188">
        <f>+AD22/12</f>
        <v>1000000</v>
      </c>
      <c r="AG22" s="190">
        <f>+AF22</f>
        <v>1000000</v>
      </c>
      <c r="AH22" s="190">
        <f t="shared" ref="AH22:AQ22" si="1">+AG22</f>
        <v>1000000</v>
      </c>
      <c r="AI22" s="190">
        <f t="shared" si="1"/>
        <v>1000000</v>
      </c>
      <c r="AJ22" s="190">
        <f t="shared" si="1"/>
        <v>1000000</v>
      </c>
      <c r="AK22" s="190">
        <f t="shared" si="1"/>
        <v>1000000</v>
      </c>
      <c r="AL22" s="190">
        <f t="shared" si="1"/>
        <v>1000000</v>
      </c>
      <c r="AM22" s="190">
        <f t="shared" si="1"/>
        <v>1000000</v>
      </c>
      <c r="AN22" s="190">
        <f t="shared" si="1"/>
        <v>1000000</v>
      </c>
      <c r="AO22" s="190">
        <f t="shared" si="1"/>
        <v>1000000</v>
      </c>
      <c r="AP22" s="190">
        <f t="shared" si="1"/>
        <v>1000000</v>
      </c>
      <c r="AQ22" s="274">
        <f t="shared" si="1"/>
        <v>1000000</v>
      </c>
    </row>
    <row r="23" spans="1:43" x14ac:dyDescent="0.25">
      <c r="A23" s="398"/>
      <c r="B23" s="399"/>
      <c r="C23" s="399"/>
      <c r="D23" s="401"/>
      <c r="E23" s="400"/>
      <c r="F23" s="44"/>
      <c r="G23" s="45"/>
      <c r="H23" s="45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19"/>
      <c r="AC23" s="31"/>
      <c r="AD23" s="34"/>
      <c r="AE23" s="129"/>
      <c r="AF23" s="186"/>
      <c r="AG23" s="187"/>
      <c r="AH23" s="186"/>
      <c r="AI23" s="186"/>
      <c r="AJ23" s="184"/>
      <c r="AK23" s="188"/>
      <c r="AL23" s="186"/>
      <c r="AM23" s="185"/>
      <c r="AN23" s="191"/>
      <c r="AO23" s="192"/>
      <c r="AP23" s="192"/>
      <c r="AQ23" s="275"/>
    </row>
    <row r="24" spans="1:43" x14ac:dyDescent="0.25">
      <c r="A24" s="402">
        <v>5</v>
      </c>
      <c r="B24" s="332">
        <v>2</v>
      </c>
      <c r="C24" s="332">
        <v>1</v>
      </c>
      <c r="D24" s="333" t="s">
        <v>5</v>
      </c>
      <c r="E24" s="403" t="s">
        <v>10</v>
      </c>
      <c r="F24" s="73" t="s">
        <v>34</v>
      </c>
      <c r="G24" s="75"/>
      <c r="H24" s="7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42"/>
      <c r="AC24" s="43"/>
      <c r="AD24" s="34">
        <f>+AD25+AD26</f>
        <v>5550000</v>
      </c>
      <c r="AE24" s="63">
        <f>(AD24/AD$13)*100</f>
        <v>4.2061403624279584E-2</v>
      </c>
      <c r="AF24" s="186"/>
      <c r="AG24" s="184"/>
      <c r="AH24" s="184"/>
      <c r="AI24" s="186"/>
      <c r="AJ24" s="189"/>
      <c r="AK24" s="186"/>
      <c r="AL24" s="186"/>
      <c r="AM24" s="185"/>
      <c r="AN24" s="185"/>
      <c r="AO24" s="185"/>
      <c r="AP24" s="185"/>
      <c r="AQ24" s="272"/>
    </row>
    <row r="25" spans="1:43" x14ac:dyDescent="0.25">
      <c r="A25" s="398"/>
      <c r="B25" s="399"/>
      <c r="C25" s="399"/>
      <c r="D25" s="401"/>
      <c r="E25" s="400"/>
      <c r="F25" s="73" t="s">
        <v>80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42"/>
      <c r="AC25" s="43"/>
      <c r="AD25" s="74">
        <v>5550000</v>
      </c>
      <c r="AE25" s="63">
        <f>(AD25/AD$13)*100</f>
        <v>4.2061403624279584E-2</v>
      </c>
      <c r="AF25" s="188"/>
      <c r="AG25" s="190"/>
      <c r="AH25" s="190"/>
      <c r="AI25" s="188">
        <f>+AD25</f>
        <v>5550000</v>
      </c>
      <c r="AJ25" s="189"/>
      <c r="AK25" s="188"/>
      <c r="AL25" s="188"/>
      <c r="AM25" s="183"/>
      <c r="AN25" s="183"/>
      <c r="AO25" s="183"/>
      <c r="AP25" s="183"/>
      <c r="AQ25" s="273"/>
    </row>
    <row r="26" spans="1:43" x14ac:dyDescent="0.25">
      <c r="A26" s="398"/>
      <c r="B26" s="399"/>
      <c r="C26" s="399"/>
      <c r="D26" s="401"/>
      <c r="E26" s="400"/>
      <c r="F26" s="73" t="s">
        <v>33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42"/>
      <c r="AC26" s="43"/>
      <c r="AD26" s="74"/>
      <c r="AE26" s="127"/>
      <c r="AF26" s="188"/>
      <c r="AG26" s="184"/>
      <c r="AH26" s="184"/>
      <c r="AI26" s="186"/>
      <c r="AJ26" s="189"/>
      <c r="AK26" s="186"/>
      <c r="AL26" s="186"/>
      <c r="AM26" s="185"/>
      <c r="AN26" s="185"/>
      <c r="AO26" s="185"/>
      <c r="AP26" s="185"/>
      <c r="AQ26" s="272"/>
    </row>
    <row r="27" spans="1:43" x14ac:dyDescent="0.25">
      <c r="A27" s="402">
        <v>5</v>
      </c>
      <c r="B27" s="332">
        <v>2</v>
      </c>
      <c r="C27" s="332">
        <v>1</v>
      </c>
      <c r="D27" s="333" t="s">
        <v>5</v>
      </c>
      <c r="E27" s="403" t="s">
        <v>52</v>
      </c>
      <c r="F27" s="73" t="s">
        <v>53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42"/>
      <c r="AC27" s="43"/>
      <c r="AD27" s="34">
        <f>+AD28+AD29</f>
        <v>24450000</v>
      </c>
      <c r="AE27" s="63">
        <f>(AD27/AD$13)*100</f>
        <v>0.18529753488533976</v>
      </c>
      <c r="AF27" s="186"/>
      <c r="AG27" s="184"/>
      <c r="AH27" s="184"/>
      <c r="AI27" s="186"/>
      <c r="AJ27" s="189"/>
      <c r="AK27" s="186"/>
      <c r="AL27" s="186"/>
      <c r="AM27" s="185"/>
      <c r="AN27" s="185"/>
      <c r="AO27" s="185"/>
      <c r="AP27" s="185"/>
      <c r="AQ27" s="272"/>
    </row>
    <row r="28" spans="1:43" x14ac:dyDescent="0.25">
      <c r="A28" s="398"/>
      <c r="B28" s="399"/>
      <c r="C28" s="399"/>
      <c r="D28" s="401"/>
      <c r="E28" s="400"/>
      <c r="F28" s="73" t="s">
        <v>81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42"/>
      <c r="AC28" s="43"/>
      <c r="AD28" s="74">
        <v>18900000</v>
      </c>
      <c r="AE28" s="63">
        <f>(AD28/AD$13)*100</f>
        <v>0.14323613126106016</v>
      </c>
      <c r="AF28" s="188"/>
      <c r="AG28" s="190"/>
      <c r="AH28" s="190"/>
      <c r="AI28" s="188"/>
      <c r="AJ28" s="189"/>
      <c r="AK28" s="188"/>
      <c r="AL28" s="188">
        <f>+AD28/2</f>
        <v>9450000</v>
      </c>
      <c r="AM28" s="183">
        <f>+AL28</f>
        <v>9450000</v>
      </c>
      <c r="AN28" s="183"/>
      <c r="AO28" s="183"/>
      <c r="AP28" s="183"/>
      <c r="AQ28" s="273"/>
    </row>
    <row r="29" spans="1:43" x14ac:dyDescent="0.25">
      <c r="A29" s="398"/>
      <c r="B29" s="399"/>
      <c r="C29" s="399"/>
      <c r="D29" s="401"/>
      <c r="E29" s="400"/>
      <c r="F29" s="73" t="s">
        <v>82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42"/>
      <c r="AC29" s="43"/>
      <c r="AD29" s="74">
        <f>+AD25</f>
        <v>5550000</v>
      </c>
      <c r="AE29" s="63">
        <f>(AD29/AD$13)*100</f>
        <v>4.2061403624279584E-2</v>
      </c>
      <c r="AF29" s="188"/>
      <c r="AG29" s="184"/>
      <c r="AH29" s="184"/>
      <c r="AI29" s="186"/>
      <c r="AJ29" s="189"/>
      <c r="AK29" s="188"/>
      <c r="AL29" s="186"/>
      <c r="AM29" s="185"/>
      <c r="AN29" s="183">
        <f>+AD29</f>
        <v>5550000</v>
      </c>
      <c r="AO29" s="185"/>
      <c r="AP29" s="185"/>
      <c r="AQ29" s="272"/>
    </row>
    <row r="30" spans="1:43" x14ac:dyDescent="0.25">
      <c r="A30" s="398"/>
      <c r="B30" s="399"/>
      <c r="C30" s="399"/>
      <c r="D30" s="401"/>
      <c r="E30" s="400"/>
      <c r="F30" s="73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42"/>
      <c r="AC30" s="43"/>
      <c r="AD30" s="74"/>
      <c r="AE30" s="127"/>
      <c r="AF30" s="188"/>
      <c r="AG30" s="189"/>
      <c r="AH30" s="193"/>
      <c r="AI30" s="188"/>
      <c r="AJ30" s="189"/>
      <c r="AK30" s="188"/>
      <c r="AL30" s="188"/>
      <c r="AM30" s="183"/>
      <c r="AN30" s="194"/>
      <c r="AO30" s="195"/>
      <c r="AP30" s="195"/>
      <c r="AQ30" s="276"/>
    </row>
    <row r="31" spans="1:43" x14ac:dyDescent="0.25">
      <c r="A31" s="398">
        <v>5</v>
      </c>
      <c r="B31" s="399">
        <v>2</v>
      </c>
      <c r="C31" s="399">
        <v>2</v>
      </c>
      <c r="D31" s="332"/>
      <c r="E31" s="400"/>
      <c r="F31" s="44" t="s">
        <v>83</v>
      </c>
      <c r="G31" s="45"/>
      <c r="H31" s="46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19"/>
      <c r="AC31" s="31"/>
      <c r="AD31" s="34">
        <f>+AD32+AD38+AD42+AD45+AD52</f>
        <v>2859452000</v>
      </c>
      <c r="AE31" s="63">
        <f t="shared" ref="AE31:AE36" si="2">(AD31/AD$13)*100</f>
        <v>21.670732381306934</v>
      </c>
      <c r="AF31" s="186"/>
      <c r="AG31" s="187"/>
      <c r="AH31" s="184"/>
      <c r="AI31" s="186"/>
      <c r="AJ31" s="187"/>
      <c r="AK31" s="186"/>
      <c r="AL31" s="186"/>
      <c r="AM31" s="185"/>
      <c r="AN31" s="185"/>
      <c r="AO31" s="185"/>
      <c r="AP31" s="185"/>
      <c r="AQ31" s="272"/>
    </row>
    <row r="32" spans="1:43" x14ac:dyDescent="0.25">
      <c r="A32" s="398">
        <v>5</v>
      </c>
      <c r="B32" s="399">
        <v>2</v>
      </c>
      <c r="C32" s="399">
        <v>2</v>
      </c>
      <c r="D32" s="401" t="s">
        <v>5</v>
      </c>
      <c r="E32" s="400"/>
      <c r="F32" s="44" t="s">
        <v>17</v>
      </c>
      <c r="G32" s="45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19"/>
      <c r="AC32" s="31"/>
      <c r="AD32" s="34">
        <f>AD33</f>
        <v>36090000</v>
      </c>
      <c r="AE32" s="63">
        <f t="shared" si="2"/>
        <v>0.27351280302707209</v>
      </c>
      <c r="AF32" s="186"/>
      <c r="AG32" s="187"/>
      <c r="AH32" s="184"/>
      <c r="AI32" s="186"/>
      <c r="AJ32" s="187"/>
      <c r="AK32" s="186"/>
      <c r="AL32" s="186"/>
      <c r="AM32" s="185"/>
      <c r="AN32" s="185"/>
      <c r="AO32" s="185"/>
      <c r="AP32" s="185"/>
      <c r="AQ32" s="272"/>
    </row>
    <row r="33" spans="1:43" x14ac:dyDescent="0.25">
      <c r="A33" s="402">
        <v>5</v>
      </c>
      <c r="B33" s="332">
        <v>2</v>
      </c>
      <c r="C33" s="332">
        <v>2</v>
      </c>
      <c r="D33" s="333" t="s">
        <v>5</v>
      </c>
      <c r="E33" s="403" t="s">
        <v>5</v>
      </c>
      <c r="F33" s="73" t="s">
        <v>18</v>
      </c>
      <c r="G33" s="75"/>
      <c r="H33" s="86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19"/>
      <c r="AC33" s="31"/>
      <c r="AD33" s="74">
        <f>SUM(AD34:AD36)</f>
        <v>36090000</v>
      </c>
      <c r="AE33" s="63">
        <f t="shared" si="2"/>
        <v>0.27351280302707209</v>
      </c>
      <c r="AF33" s="188"/>
      <c r="AG33" s="187"/>
      <c r="AH33" s="190"/>
      <c r="AI33" s="188"/>
      <c r="AJ33" s="189"/>
      <c r="AK33" s="188"/>
      <c r="AL33" s="188"/>
      <c r="AM33" s="183"/>
      <c r="AN33" s="183"/>
      <c r="AO33" s="183"/>
      <c r="AP33" s="183"/>
      <c r="AQ33" s="273"/>
    </row>
    <row r="34" spans="1:43" x14ac:dyDescent="0.25">
      <c r="A34" s="402"/>
      <c r="B34" s="332"/>
      <c r="C34" s="332"/>
      <c r="D34" s="333"/>
      <c r="E34" s="403"/>
      <c r="F34" s="122" t="s">
        <v>37</v>
      </c>
      <c r="G34" s="75" t="s">
        <v>84</v>
      </c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19"/>
      <c r="AC34" s="31"/>
      <c r="AD34" s="74">
        <v>9090000</v>
      </c>
      <c r="AE34" s="63">
        <f t="shared" si="2"/>
        <v>6.8889758368414669E-2</v>
      </c>
      <c r="AF34" s="189">
        <f>+AD34/4</f>
        <v>2272500</v>
      </c>
      <c r="AG34" s="187"/>
      <c r="AH34" s="190">
        <f>+AF34</f>
        <v>2272500</v>
      </c>
      <c r="AI34" s="188"/>
      <c r="AJ34" s="72"/>
      <c r="AK34" s="188"/>
      <c r="AL34" s="189">
        <f>+AF34</f>
        <v>2272500</v>
      </c>
      <c r="AM34" s="183"/>
      <c r="AN34" s="183">
        <f>+AL34</f>
        <v>2272500</v>
      </c>
      <c r="AO34" s="72"/>
      <c r="AP34" s="183"/>
      <c r="AQ34" s="273"/>
    </row>
    <row r="35" spans="1:43" x14ac:dyDescent="0.25">
      <c r="A35" s="402"/>
      <c r="B35" s="332"/>
      <c r="C35" s="332"/>
      <c r="D35" s="333"/>
      <c r="E35" s="403"/>
      <c r="F35" s="122" t="s">
        <v>37</v>
      </c>
      <c r="G35" s="75" t="s">
        <v>85</v>
      </c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19"/>
      <c r="AC35" s="31"/>
      <c r="AD35" s="74">
        <v>9000000</v>
      </c>
      <c r="AE35" s="63">
        <f t="shared" si="2"/>
        <v>6.8207681552885799E-2</v>
      </c>
      <c r="AF35" s="188"/>
      <c r="AG35" s="189">
        <f>+AD35/3</f>
        <v>3000000</v>
      </c>
      <c r="AH35" s="190"/>
      <c r="AI35" s="189">
        <f>+AG35</f>
        <v>3000000</v>
      </c>
      <c r="AJ35" s="208"/>
      <c r="AK35" s="188">
        <f>+AI35</f>
        <v>3000000</v>
      </c>
      <c r="AL35" s="188"/>
      <c r="AM35" s="183"/>
      <c r="AN35" s="183"/>
      <c r="AO35" s="183"/>
      <c r="AP35" s="183"/>
      <c r="AQ35" s="273"/>
    </row>
    <row r="36" spans="1:43" x14ac:dyDescent="0.25">
      <c r="A36" s="402"/>
      <c r="B36" s="332"/>
      <c r="C36" s="332"/>
      <c r="D36" s="333"/>
      <c r="E36" s="403"/>
      <c r="F36" s="122" t="s">
        <v>37</v>
      </c>
      <c r="G36" s="75" t="s">
        <v>86</v>
      </c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19"/>
      <c r="AC36" s="31"/>
      <c r="AD36" s="74">
        <v>18000000</v>
      </c>
      <c r="AE36" s="63">
        <f t="shared" si="2"/>
        <v>0.1364153631057716</v>
      </c>
      <c r="AF36" s="188"/>
      <c r="AG36" s="189">
        <f>+AD36/3</f>
        <v>6000000</v>
      </c>
      <c r="AH36" s="190"/>
      <c r="AI36" s="188"/>
      <c r="AJ36" s="189">
        <f>+AG36</f>
        <v>6000000</v>
      </c>
      <c r="AK36" s="188"/>
      <c r="AL36" s="188"/>
      <c r="AM36" s="183">
        <f>+AJ36</f>
        <v>6000000</v>
      </c>
      <c r="AN36" s="183"/>
      <c r="AO36" s="183"/>
      <c r="AP36" s="183"/>
      <c r="AQ36" s="273"/>
    </row>
    <row r="37" spans="1:43" x14ac:dyDescent="0.25">
      <c r="A37" s="402"/>
      <c r="B37" s="332"/>
      <c r="C37" s="332"/>
      <c r="D37" s="333"/>
      <c r="E37" s="403"/>
      <c r="F37" s="73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19"/>
      <c r="AC37" s="31"/>
      <c r="AD37" s="74"/>
      <c r="AE37" s="129"/>
      <c r="AF37" s="188"/>
      <c r="AG37" s="189"/>
      <c r="AH37" s="188"/>
      <c r="AI37" s="188"/>
      <c r="AJ37" s="189"/>
      <c r="AK37" s="188"/>
      <c r="AL37" s="188"/>
      <c r="AM37" s="183"/>
      <c r="AN37" s="194"/>
      <c r="AO37" s="195"/>
      <c r="AP37" s="195"/>
      <c r="AQ37" s="276"/>
    </row>
    <row r="38" spans="1:43" x14ac:dyDescent="0.25">
      <c r="A38" s="398">
        <v>5</v>
      </c>
      <c r="B38" s="399">
        <v>2</v>
      </c>
      <c r="C38" s="399">
        <v>2</v>
      </c>
      <c r="D38" s="401" t="s">
        <v>10</v>
      </c>
      <c r="E38" s="403"/>
      <c r="F38" s="73" t="s">
        <v>56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19"/>
      <c r="AC38" s="31"/>
      <c r="AD38" s="34">
        <f>AD39</f>
        <v>1000000</v>
      </c>
      <c r="AE38" s="63">
        <f>(AD38/AD$13)*100</f>
        <v>7.5786312836539776E-3</v>
      </c>
      <c r="AF38" s="186"/>
      <c r="AG38" s="184"/>
      <c r="AH38" s="184"/>
      <c r="AI38" s="186"/>
      <c r="AJ38" s="189"/>
      <c r="AK38" s="186"/>
      <c r="AL38" s="186"/>
      <c r="AM38" s="185"/>
      <c r="AN38" s="185"/>
      <c r="AO38" s="185"/>
      <c r="AP38" s="185"/>
      <c r="AQ38" s="272"/>
    </row>
    <row r="39" spans="1:43" x14ac:dyDescent="0.25">
      <c r="A39" s="398">
        <v>5</v>
      </c>
      <c r="B39" s="399">
        <v>2</v>
      </c>
      <c r="C39" s="399">
        <v>2</v>
      </c>
      <c r="D39" s="401" t="s">
        <v>10</v>
      </c>
      <c r="E39" s="404" t="s">
        <v>12</v>
      </c>
      <c r="F39" s="73" t="s">
        <v>87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19"/>
      <c r="AC39" s="31"/>
      <c r="AD39" s="74">
        <f>+AD40</f>
        <v>1000000</v>
      </c>
      <c r="AE39" s="63">
        <f>(AD39/AD$13)*100</f>
        <v>7.5786312836539776E-3</v>
      </c>
      <c r="AF39" s="188"/>
      <c r="AG39" s="190"/>
      <c r="AH39" s="190"/>
      <c r="AI39" s="188"/>
      <c r="AJ39" s="189"/>
      <c r="AK39" s="188"/>
      <c r="AL39" s="188"/>
      <c r="AM39" s="183"/>
      <c r="AN39" s="183"/>
      <c r="AO39" s="183"/>
      <c r="AP39" s="183"/>
      <c r="AQ39" s="273"/>
    </row>
    <row r="40" spans="1:43" x14ac:dyDescent="0.25">
      <c r="A40" s="402"/>
      <c r="B40" s="332"/>
      <c r="C40" s="332"/>
      <c r="D40" s="333"/>
      <c r="E40" s="403"/>
      <c r="F40" s="73" t="s">
        <v>37</v>
      </c>
      <c r="G40" s="75" t="s">
        <v>204</v>
      </c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19"/>
      <c r="AC40" s="31"/>
      <c r="AD40" s="74">
        <v>1000000</v>
      </c>
      <c r="AE40" s="63">
        <f>(AD40/AD$13)*100</f>
        <v>7.5786312836539776E-3</v>
      </c>
      <c r="AF40" s="188"/>
      <c r="AG40" s="190"/>
      <c r="AH40" s="190"/>
      <c r="AI40" s="188"/>
      <c r="AJ40" s="189">
        <f>+AD40/2</f>
        <v>500000</v>
      </c>
      <c r="AK40" s="188"/>
      <c r="AL40" s="188"/>
      <c r="AM40" s="183"/>
      <c r="AN40" s="183">
        <f>+AJ40</f>
        <v>500000</v>
      </c>
      <c r="AO40" s="183"/>
      <c r="AP40" s="183"/>
      <c r="AQ40" s="273"/>
    </row>
    <row r="41" spans="1:43" x14ac:dyDescent="0.25">
      <c r="A41" s="402"/>
      <c r="B41" s="332"/>
      <c r="C41" s="332"/>
      <c r="D41" s="333"/>
      <c r="E41" s="403"/>
      <c r="F41" s="73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19"/>
      <c r="AC41" s="31"/>
      <c r="AD41" s="74"/>
      <c r="AE41" s="129"/>
      <c r="AF41" s="188"/>
      <c r="AG41" s="189"/>
      <c r="AH41" s="188"/>
      <c r="AI41" s="188"/>
      <c r="AJ41" s="189"/>
      <c r="AK41" s="188"/>
      <c r="AL41" s="188"/>
      <c r="AM41" s="183"/>
      <c r="AN41" s="194"/>
      <c r="AO41" s="185"/>
      <c r="AP41" s="185"/>
      <c r="AQ41" s="272"/>
    </row>
    <row r="42" spans="1:43" x14ac:dyDescent="0.25">
      <c r="A42" s="398">
        <v>5</v>
      </c>
      <c r="B42" s="399">
        <v>2</v>
      </c>
      <c r="C42" s="399">
        <v>2</v>
      </c>
      <c r="D42" s="401" t="s">
        <v>12</v>
      </c>
      <c r="E42" s="400"/>
      <c r="F42" s="322" t="s">
        <v>16</v>
      </c>
      <c r="G42" s="323"/>
      <c r="H42" s="324"/>
      <c r="I42" s="323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  <c r="AA42" s="323"/>
      <c r="AB42" s="19"/>
      <c r="AC42" s="31"/>
      <c r="AD42" s="34">
        <f>+AD43</f>
        <v>7000000</v>
      </c>
      <c r="AE42" s="63">
        <f>(AD42/AD$13)*100</f>
        <v>5.3050418985577844E-2</v>
      </c>
      <c r="AF42" s="186"/>
      <c r="AG42" s="187"/>
      <c r="AH42" s="186"/>
      <c r="AI42" s="186"/>
      <c r="AJ42" s="189"/>
      <c r="AK42" s="186"/>
      <c r="AL42" s="186"/>
      <c r="AM42" s="185"/>
      <c r="AN42" s="185"/>
      <c r="AO42" s="185"/>
      <c r="AP42" s="185"/>
      <c r="AQ42" s="272"/>
    </row>
    <row r="43" spans="1:43" x14ac:dyDescent="0.25">
      <c r="A43" s="402">
        <v>5</v>
      </c>
      <c r="B43" s="332">
        <v>2</v>
      </c>
      <c r="C43" s="332">
        <v>2</v>
      </c>
      <c r="D43" s="333" t="s">
        <v>12</v>
      </c>
      <c r="E43" s="404" t="s">
        <v>10</v>
      </c>
      <c r="F43" s="73" t="s">
        <v>88</v>
      </c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421"/>
      <c r="T43" s="421"/>
      <c r="U43" s="421"/>
      <c r="V43" s="421"/>
      <c r="W43" s="421"/>
      <c r="X43" s="421"/>
      <c r="Y43" s="421"/>
      <c r="Z43" s="421"/>
      <c r="AA43" s="421"/>
      <c r="AB43" s="19"/>
      <c r="AC43" s="31"/>
      <c r="AD43" s="74">
        <v>7000000</v>
      </c>
      <c r="AE43" s="63">
        <f>(AD43/AD$13)*100</f>
        <v>5.3050418985577844E-2</v>
      </c>
      <c r="AF43" s="188"/>
      <c r="AG43" s="189"/>
      <c r="AH43" s="188">
        <v>2500000</v>
      </c>
      <c r="AI43" s="188"/>
      <c r="AJ43" s="189"/>
      <c r="AK43" s="186"/>
      <c r="AL43" s="188">
        <f>+AH43</f>
        <v>2500000</v>
      </c>
      <c r="AM43" s="183"/>
      <c r="AN43" s="183"/>
      <c r="AO43" s="183">
        <v>2000000</v>
      </c>
      <c r="AP43" s="183"/>
      <c r="AQ43" s="273"/>
    </row>
    <row r="44" spans="1:43" x14ac:dyDescent="0.25">
      <c r="A44" s="402"/>
      <c r="B44" s="332"/>
      <c r="C44" s="332"/>
      <c r="D44" s="333"/>
      <c r="E44" s="404"/>
      <c r="F44" s="73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421"/>
      <c r="T44" s="421"/>
      <c r="U44" s="421"/>
      <c r="V44" s="421"/>
      <c r="W44" s="421"/>
      <c r="X44" s="421"/>
      <c r="Y44" s="421"/>
      <c r="Z44" s="421"/>
      <c r="AA44" s="421"/>
      <c r="AB44" s="19"/>
      <c r="AC44" s="31"/>
      <c r="AD44" s="74"/>
      <c r="AE44" s="127"/>
      <c r="AF44" s="188"/>
      <c r="AG44" s="189"/>
      <c r="AH44" s="188"/>
      <c r="AI44" s="188"/>
      <c r="AJ44" s="189"/>
      <c r="AK44" s="188"/>
      <c r="AL44" s="188"/>
      <c r="AM44" s="183"/>
      <c r="AN44" s="194"/>
      <c r="AO44" s="195"/>
      <c r="AP44" s="195"/>
      <c r="AQ44" s="276"/>
    </row>
    <row r="45" spans="1:43" x14ac:dyDescent="0.25">
      <c r="A45" s="398">
        <v>5</v>
      </c>
      <c r="B45" s="399">
        <v>2</v>
      </c>
      <c r="C45" s="399">
        <v>2</v>
      </c>
      <c r="D45" s="399">
        <v>15</v>
      </c>
      <c r="E45" s="400"/>
      <c r="F45" s="322" t="s">
        <v>57</v>
      </c>
      <c r="G45" s="323"/>
      <c r="H45" s="324"/>
      <c r="I45" s="323"/>
      <c r="J45" s="323"/>
      <c r="K45" s="323"/>
      <c r="L45" s="323"/>
      <c r="M45" s="323"/>
      <c r="N45" s="323"/>
      <c r="O45" s="323"/>
      <c r="P45" s="323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19"/>
      <c r="AC45" s="31"/>
      <c r="AD45" s="34">
        <f>+AD46+AD48</f>
        <v>200688000</v>
      </c>
      <c r="AE45" s="63">
        <f>(AD45/AD$13)*100</f>
        <v>1.5209403550539495</v>
      </c>
      <c r="AF45" s="186"/>
      <c r="AG45" s="184"/>
      <c r="AH45" s="184"/>
      <c r="AI45" s="186"/>
      <c r="AJ45" s="187"/>
      <c r="AK45" s="186"/>
      <c r="AL45" s="186"/>
      <c r="AM45" s="185"/>
      <c r="AN45" s="185"/>
      <c r="AO45" s="185"/>
      <c r="AP45" s="185"/>
      <c r="AQ45" s="272"/>
    </row>
    <row r="46" spans="1:43" x14ac:dyDescent="0.25">
      <c r="A46" s="402">
        <v>5</v>
      </c>
      <c r="B46" s="332">
        <v>2</v>
      </c>
      <c r="C46" s="332">
        <v>2</v>
      </c>
      <c r="D46" s="332">
        <v>15</v>
      </c>
      <c r="E46" s="403" t="s">
        <v>5</v>
      </c>
      <c r="F46" s="420" t="s">
        <v>89</v>
      </c>
      <c r="G46" s="421"/>
      <c r="H46" s="422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421"/>
      <c r="T46" s="421"/>
      <c r="U46" s="421"/>
      <c r="V46" s="421"/>
      <c r="W46" s="421"/>
      <c r="X46" s="421"/>
      <c r="Y46" s="421"/>
      <c r="Z46" s="421"/>
      <c r="AA46" s="421"/>
      <c r="AB46" s="19"/>
      <c r="AC46" s="31"/>
      <c r="AD46" s="74">
        <v>82944000</v>
      </c>
      <c r="AE46" s="63">
        <f>(AD46/AD$13)*100</f>
        <v>0.62860199319139554</v>
      </c>
      <c r="AF46" s="188">
        <v>1500000</v>
      </c>
      <c r="AG46" s="190">
        <v>15000000</v>
      </c>
      <c r="AH46" s="190">
        <v>15000000</v>
      </c>
      <c r="AI46" s="190">
        <v>15000000</v>
      </c>
      <c r="AJ46" s="190">
        <v>15000000</v>
      </c>
      <c r="AK46" s="189">
        <v>6000000</v>
      </c>
      <c r="AL46" s="208"/>
      <c r="AM46" s="188">
        <f>+AD46-AF46-AG46-AH46-AI46-AJ46-AK46</f>
        <v>15444000</v>
      </c>
      <c r="AN46" s="183"/>
      <c r="AO46" s="183"/>
      <c r="AP46" s="183"/>
      <c r="AQ46" s="273"/>
    </row>
    <row r="47" spans="1:43" x14ac:dyDescent="0.25">
      <c r="A47" s="402"/>
      <c r="B47" s="332"/>
      <c r="C47" s="332"/>
      <c r="D47" s="332"/>
      <c r="E47" s="403"/>
      <c r="F47" s="420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/>
      <c r="W47" s="421"/>
      <c r="X47" s="421"/>
      <c r="Y47" s="421"/>
      <c r="Z47" s="421"/>
      <c r="AA47" s="421"/>
      <c r="AB47" s="19"/>
      <c r="AC47" s="31"/>
      <c r="AD47" s="74"/>
      <c r="AE47" s="127"/>
      <c r="AF47" s="188"/>
      <c r="AG47" s="184"/>
      <c r="AH47" s="184"/>
      <c r="AI47" s="188"/>
      <c r="AJ47" s="189"/>
      <c r="AK47" s="186"/>
      <c r="AL47" s="186"/>
      <c r="AM47" s="185"/>
      <c r="AN47" s="185"/>
      <c r="AO47" s="185"/>
      <c r="AP47" s="185"/>
      <c r="AQ47" s="272"/>
    </row>
    <row r="48" spans="1:43" x14ac:dyDescent="0.25">
      <c r="A48" s="402">
        <v>5</v>
      </c>
      <c r="B48" s="332">
        <v>2</v>
      </c>
      <c r="C48" s="332">
        <v>2</v>
      </c>
      <c r="D48" s="332">
        <v>15</v>
      </c>
      <c r="E48" s="403" t="s">
        <v>10</v>
      </c>
      <c r="F48" s="420" t="s">
        <v>90</v>
      </c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  <c r="AA48" s="421"/>
      <c r="AB48" s="19"/>
      <c r="AC48" s="31"/>
      <c r="AD48" s="34">
        <f>SUM(AD49:AD50)</f>
        <v>117744000</v>
      </c>
      <c r="AE48" s="63">
        <f>(AD48/AD$13)*100</f>
        <v>0.892338361862554</v>
      </c>
      <c r="AF48" s="188"/>
      <c r="AG48" s="190"/>
      <c r="AH48" s="190"/>
      <c r="AI48" s="188"/>
      <c r="AJ48" s="189"/>
      <c r="AK48" s="188"/>
      <c r="AL48" s="188"/>
      <c r="AM48" s="183"/>
      <c r="AN48" s="183"/>
      <c r="AO48" s="183"/>
      <c r="AP48" s="183"/>
      <c r="AQ48" s="273"/>
    </row>
    <row r="49" spans="1:43" x14ac:dyDescent="0.25">
      <c r="A49" s="402"/>
      <c r="B49" s="332"/>
      <c r="C49" s="332"/>
      <c r="D49" s="332"/>
      <c r="E49" s="403"/>
      <c r="F49" s="420" t="s">
        <v>37</v>
      </c>
      <c r="G49" s="421" t="s">
        <v>90</v>
      </c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1"/>
      <c r="AA49" s="421"/>
      <c r="AB49" s="19"/>
      <c r="AC49" s="31"/>
      <c r="AD49" s="74">
        <v>70144000</v>
      </c>
      <c r="AE49" s="63">
        <f>(AD49/AD$13)*100</f>
        <v>0.53159551276062467</v>
      </c>
      <c r="AF49" s="188"/>
      <c r="AG49" s="190">
        <v>17500000</v>
      </c>
      <c r="AH49" s="190"/>
      <c r="AI49" s="188">
        <f>+AG49</f>
        <v>17500000</v>
      </c>
      <c r="AJ49" s="189"/>
      <c r="AK49" s="188">
        <f>+AI49</f>
        <v>17500000</v>
      </c>
      <c r="AL49" s="188"/>
      <c r="AM49" s="72"/>
      <c r="AN49" s="183">
        <f>+AK49+144000</f>
        <v>17644000</v>
      </c>
      <c r="AO49" s="183"/>
      <c r="AP49" s="183"/>
      <c r="AQ49" s="273"/>
    </row>
    <row r="50" spans="1:43" x14ac:dyDescent="0.25">
      <c r="A50" s="402"/>
      <c r="B50" s="332"/>
      <c r="C50" s="332"/>
      <c r="D50" s="332"/>
      <c r="E50" s="403"/>
      <c r="F50" s="420" t="s">
        <v>37</v>
      </c>
      <c r="G50" s="421" t="s">
        <v>229</v>
      </c>
      <c r="H50" s="421"/>
      <c r="I50" s="421"/>
      <c r="J50" s="421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21"/>
      <c r="V50" s="421"/>
      <c r="W50" s="421"/>
      <c r="X50" s="421"/>
      <c r="Y50" s="421"/>
      <c r="Z50" s="421"/>
      <c r="AA50" s="421"/>
      <c r="AB50" s="19"/>
      <c r="AC50" s="31"/>
      <c r="AD50" s="74">
        <v>47600000</v>
      </c>
      <c r="AE50" s="63">
        <f>(AD50/AD$13)*100</f>
        <v>0.36074284910192933</v>
      </c>
      <c r="AF50" s="188"/>
      <c r="AG50" s="190"/>
      <c r="AH50" s="190">
        <f>+AD50/4</f>
        <v>11900000</v>
      </c>
      <c r="AI50" s="188"/>
      <c r="AJ50" s="189">
        <f>+AH50</f>
        <v>11900000</v>
      </c>
      <c r="AK50" s="188"/>
      <c r="AL50" s="188"/>
      <c r="AM50" s="183">
        <f>+AJ50</f>
        <v>11900000</v>
      </c>
      <c r="AN50" s="183"/>
      <c r="AO50" s="183">
        <f>+AM50</f>
        <v>11900000</v>
      </c>
      <c r="AP50" s="183"/>
      <c r="AQ50" s="273"/>
    </row>
    <row r="51" spans="1:43" x14ac:dyDescent="0.25">
      <c r="A51" s="402"/>
      <c r="B51" s="332"/>
      <c r="C51" s="332"/>
      <c r="D51" s="332"/>
      <c r="E51" s="403"/>
      <c r="F51" s="420"/>
      <c r="G51" s="421"/>
      <c r="H51" s="421"/>
      <c r="I51" s="421"/>
      <c r="J51" s="421"/>
      <c r="K51" s="421"/>
      <c r="L51" s="421"/>
      <c r="M51" s="421"/>
      <c r="N51" s="421"/>
      <c r="O51" s="421"/>
      <c r="P51" s="421"/>
      <c r="Q51" s="421"/>
      <c r="R51" s="421"/>
      <c r="S51" s="421"/>
      <c r="T51" s="421"/>
      <c r="U51" s="421"/>
      <c r="V51" s="421"/>
      <c r="W51" s="421"/>
      <c r="X51" s="421"/>
      <c r="Y51" s="421"/>
      <c r="Z51" s="421"/>
      <c r="AA51" s="421"/>
      <c r="AB51" s="19"/>
      <c r="AC51" s="31"/>
      <c r="AD51" s="74"/>
      <c r="AE51" s="127"/>
      <c r="AF51" s="188"/>
      <c r="AG51" s="189"/>
      <c r="AH51" s="188"/>
      <c r="AI51" s="188"/>
      <c r="AJ51" s="189"/>
      <c r="AK51" s="188"/>
      <c r="AL51" s="188"/>
      <c r="AM51" s="183"/>
      <c r="AN51" s="194"/>
      <c r="AO51" s="195"/>
      <c r="AP51" s="195"/>
      <c r="AQ51" s="276"/>
    </row>
    <row r="52" spans="1:43" x14ac:dyDescent="0.25">
      <c r="A52" s="398">
        <v>5</v>
      </c>
      <c r="B52" s="399">
        <v>2</v>
      </c>
      <c r="C52" s="399">
        <v>2</v>
      </c>
      <c r="D52" s="401" t="s">
        <v>32</v>
      </c>
      <c r="E52" s="400"/>
      <c r="F52" s="44" t="s">
        <v>91</v>
      </c>
      <c r="G52" s="45"/>
      <c r="H52" s="46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19"/>
      <c r="AC52" s="31"/>
      <c r="AD52" s="34">
        <f>AD53</f>
        <v>2614674000</v>
      </c>
      <c r="AE52" s="63">
        <f t="shared" ref="AE52:AE84" si="3">(AD52/AD$13)*100</f>
        <v>19.81565017295668</v>
      </c>
      <c r="AF52" s="186"/>
      <c r="AG52" s="184"/>
      <c r="AH52" s="184"/>
      <c r="AI52" s="186"/>
      <c r="AJ52" s="187"/>
      <c r="AK52" s="186"/>
      <c r="AL52" s="186"/>
      <c r="AM52" s="185"/>
      <c r="AN52" s="185"/>
      <c r="AO52" s="185"/>
      <c r="AP52" s="185"/>
      <c r="AQ52" s="272"/>
    </row>
    <row r="53" spans="1:43" x14ac:dyDescent="0.25">
      <c r="A53" s="402">
        <v>5</v>
      </c>
      <c r="B53" s="332">
        <v>2</v>
      </c>
      <c r="C53" s="332">
        <v>2</v>
      </c>
      <c r="D53" s="333" t="s">
        <v>32</v>
      </c>
      <c r="E53" s="403" t="s">
        <v>10</v>
      </c>
      <c r="F53" s="73" t="s">
        <v>92</v>
      </c>
      <c r="G53" s="75"/>
      <c r="H53" s="86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19"/>
      <c r="AC53" s="31"/>
      <c r="AD53" s="74">
        <f>+AD54</f>
        <v>2614674000</v>
      </c>
      <c r="AE53" s="63">
        <f t="shared" si="3"/>
        <v>19.81565017295668</v>
      </c>
      <c r="AF53" s="188"/>
      <c r="AG53" s="190"/>
      <c r="AH53" s="307"/>
      <c r="AI53" s="188"/>
      <c r="AJ53" s="303"/>
      <c r="AK53" s="186"/>
      <c r="AL53" s="188"/>
      <c r="AM53" s="183"/>
      <c r="AN53" s="183"/>
      <c r="AO53" s="183"/>
      <c r="AP53" s="183"/>
      <c r="AQ53" s="272"/>
    </row>
    <row r="54" spans="1:43" x14ac:dyDescent="0.25">
      <c r="A54" s="402"/>
      <c r="B54" s="332"/>
      <c r="C54" s="332"/>
      <c r="D54" s="332"/>
      <c r="E54" s="400"/>
      <c r="F54" s="73" t="s">
        <v>93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19"/>
      <c r="AC54" s="31"/>
      <c r="AD54" s="74">
        <f>SUM(AD55:AD84)</f>
        <v>2614674000</v>
      </c>
      <c r="AE54" s="63">
        <f t="shared" si="3"/>
        <v>19.81565017295668</v>
      </c>
      <c r="AF54" s="188"/>
      <c r="AG54" s="190"/>
      <c r="AH54" s="307"/>
      <c r="AI54" s="188"/>
      <c r="AJ54" s="303"/>
      <c r="AK54" s="186"/>
      <c r="AL54" s="188"/>
      <c r="AM54" s="183"/>
      <c r="AN54" s="183"/>
      <c r="AO54" s="183"/>
      <c r="AP54" s="183"/>
      <c r="AQ54" s="272"/>
    </row>
    <row r="55" spans="1:43" x14ac:dyDescent="0.25">
      <c r="A55" s="402"/>
      <c r="B55" s="332"/>
      <c r="C55" s="332"/>
      <c r="D55" s="332"/>
      <c r="E55" s="400"/>
      <c r="F55" s="123">
        <v>1</v>
      </c>
      <c r="G55" s="75" t="s">
        <v>94</v>
      </c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19"/>
      <c r="AC55" s="31"/>
      <c r="AD55" s="74">
        <v>100000000</v>
      </c>
      <c r="AE55" s="63">
        <f t="shared" si="3"/>
        <v>0.75786312836539782</v>
      </c>
      <c r="AF55" s="196"/>
      <c r="AG55" s="190"/>
      <c r="AH55" s="188">
        <f t="shared" ref="AH55:AH84" si="4">0.3*AD55</f>
        <v>30000000</v>
      </c>
      <c r="AI55" s="208"/>
      <c r="AJ55" s="188">
        <f>0.7*AD55</f>
        <v>70000000</v>
      </c>
      <c r="AK55" s="186"/>
      <c r="AL55" s="208"/>
      <c r="AM55" s="183"/>
      <c r="AN55" s="183"/>
      <c r="AO55" s="183"/>
      <c r="AP55" s="183"/>
      <c r="AQ55" s="272"/>
    </row>
    <row r="56" spans="1:43" x14ac:dyDescent="0.25">
      <c r="A56" s="402"/>
      <c r="B56" s="332"/>
      <c r="C56" s="332"/>
      <c r="D56" s="332"/>
      <c r="E56" s="400"/>
      <c r="F56" s="123">
        <f>+F55+1</f>
        <v>2</v>
      </c>
      <c r="G56" s="75" t="s">
        <v>95</v>
      </c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19"/>
      <c r="AC56" s="31"/>
      <c r="AD56" s="74">
        <v>50000000</v>
      </c>
      <c r="AE56" s="63">
        <f t="shared" si="3"/>
        <v>0.37893156418269891</v>
      </c>
      <c r="AF56" s="188"/>
      <c r="AG56" s="190"/>
      <c r="AH56" s="188">
        <f t="shared" si="4"/>
        <v>15000000</v>
      </c>
      <c r="AI56" s="303"/>
      <c r="AJ56" s="188">
        <f>0.7*AD56</f>
        <v>35000000</v>
      </c>
      <c r="AK56" s="208"/>
      <c r="AL56" s="208"/>
      <c r="AM56" s="185"/>
      <c r="AN56" s="183"/>
      <c r="AO56" s="185"/>
      <c r="AP56" s="185"/>
      <c r="AQ56" s="272"/>
    </row>
    <row r="57" spans="1:43" x14ac:dyDescent="0.25">
      <c r="A57" s="402"/>
      <c r="B57" s="332"/>
      <c r="C57" s="332"/>
      <c r="D57" s="332"/>
      <c r="E57" s="400"/>
      <c r="F57" s="123">
        <f t="shared" ref="F57:F84" si="5">+F56+1</f>
        <v>3</v>
      </c>
      <c r="G57" s="75" t="s">
        <v>96</v>
      </c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19"/>
      <c r="AC57" s="31"/>
      <c r="AD57" s="74">
        <v>110000000</v>
      </c>
      <c r="AE57" s="63">
        <f t="shared" si="3"/>
        <v>0.83364944120193751</v>
      </c>
      <c r="AF57" s="196"/>
      <c r="AG57" s="184"/>
      <c r="AH57" s="188">
        <f t="shared" si="4"/>
        <v>33000000</v>
      </c>
      <c r="AI57" s="208"/>
      <c r="AJ57" s="188">
        <f>0.5*AD57-(0.5*AH57)</f>
        <v>38500000</v>
      </c>
      <c r="AK57" s="188">
        <f>+AJ57</f>
        <v>38500000</v>
      </c>
      <c r="AL57" s="183"/>
      <c r="AM57" s="183"/>
      <c r="AN57" s="183"/>
      <c r="AO57" s="185"/>
      <c r="AP57" s="185"/>
      <c r="AQ57" s="272"/>
    </row>
    <row r="58" spans="1:43" x14ac:dyDescent="0.25">
      <c r="A58" s="402"/>
      <c r="B58" s="332"/>
      <c r="C58" s="332"/>
      <c r="D58" s="332"/>
      <c r="E58" s="400"/>
      <c r="F58" s="123">
        <f t="shared" si="5"/>
        <v>4</v>
      </c>
      <c r="G58" s="75" t="s">
        <v>97</v>
      </c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19"/>
      <c r="AC58" s="31"/>
      <c r="AD58" s="74">
        <v>50000000</v>
      </c>
      <c r="AE58" s="63">
        <f t="shared" si="3"/>
        <v>0.37893156418269891</v>
      </c>
      <c r="AF58" s="196"/>
      <c r="AG58" s="184"/>
      <c r="AH58" s="188">
        <f t="shared" si="4"/>
        <v>15000000</v>
      </c>
      <c r="AI58" s="303"/>
      <c r="AJ58" s="188">
        <f>0.7*AD58</f>
        <v>35000000</v>
      </c>
      <c r="AK58" s="208"/>
      <c r="AL58" s="183"/>
      <c r="AM58" s="183"/>
      <c r="AN58" s="185"/>
      <c r="AO58" s="185"/>
      <c r="AP58" s="185"/>
      <c r="AQ58" s="272"/>
    </row>
    <row r="59" spans="1:43" x14ac:dyDescent="0.25">
      <c r="A59" s="402"/>
      <c r="B59" s="332"/>
      <c r="C59" s="332"/>
      <c r="D59" s="332"/>
      <c r="E59" s="400"/>
      <c r="F59" s="123">
        <f t="shared" si="5"/>
        <v>5</v>
      </c>
      <c r="G59" s="75" t="s">
        <v>98</v>
      </c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19"/>
      <c r="AC59" s="31"/>
      <c r="AD59" s="74">
        <v>50000000</v>
      </c>
      <c r="AE59" s="63">
        <f t="shared" si="3"/>
        <v>0.37893156418269891</v>
      </c>
      <c r="AF59" s="196"/>
      <c r="AG59" s="184"/>
      <c r="AH59" s="188">
        <f t="shared" si="4"/>
        <v>15000000</v>
      </c>
      <c r="AI59" s="303"/>
      <c r="AJ59" s="188">
        <f>0.7*AD59</f>
        <v>35000000</v>
      </c>
      <c r="AK59" s="208"/>
      <c r="AL59" s="183"/>
      <c r="AM59" s="183"/>
      <c r="AN59" s="185"/>
      <c r="AO59" s="185"/>
      <c r="AP59" s="185"/>
      <c r="AQ59" s="272"/>
    </row>
    <row r="60" spans="1:43" x14ac:dyDescent="0.25">
      <c r="A60" s="402"/>
      <c r="B60" s="332"/>
      <c r="C60" s="332"/>
      <c r="D60" s="332"/>
      <c r="E60" s="400"/>
      <c r="F60" s="123">
        <f t="shared" si="5"/>
        <v>6</v>
      </c>
      <c r="G60" s="75" t="s">
        <v>99</v>
      </c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19"/>
      <c r="AC60" s="31"/>
      <c r="AD60" s="74">
        <v>50000000</v>
      </c>
      <c r="AE60" s="63">
        <f t="shared" si="3"/>
        <v>0.37893156418269891</v>
      </c>
      <c r="AF60" s="196"/>
      <c r="AG60" s="184"/>
      <c r="AH60" s="188">
        <f t="shared" si="4"/>
        <v>15000000</v>
      </c>
      <c r="AI60" s="303"/>
      <c r="AJ60" s="188">
        <f>0.7*AD60</f>
        <v>35000000</v>
      </c>
      <c r="AK60" s="208"/>
      <c r="AL60" s="183"/>
      <c r="AM60" s="183"/>
      <c r="AN60" s="185"/>
      <c r="AO60" s="185"/>
      <c r="AP60" s="185"/>
      <c r="AQ60" s="272"/>
    </row>
    <row r="61" spans="1:43" x14ac:dyDescent="0.25">
      <c r="A61" s="402"/>
      <c r="B61" s="332"/>
      <c r="C61" s="332"/>
      <c r="D61" s="332"/>
      <c r="E61" s="400"/>
      <c r="F61" s="123">
        <f t="shared" si="5"/>
        <v>7</v>
      </c>
      <c r="G61" s="75" t="s">
        <v>100</v>
      </c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19"/>
      <c r="AC61" s="31"/>
      <c r="AD61" s="74">
        <v>48500000</v>
      </c>
      <c r="AE61" s="63">
        <f t="shared" si="3"/>
        <v>0.36756361725721792</v>
      </c>
      <c r="AF61" s="196"/>
      <c r="AG61" s="184"/>
      <c r="AH61" s="188">
        <f t="shared" si="4"/>
        <v>14550000</v>
      </c>
      <c r="AI61" s="303"/>
      <c r="AJ61" s="188">
        <f>0.7*AD61</f>
        <v>33950000</v>
      </c>
      <c r="AK61" s="208"/>
      <c r="AL61" s="183"/>
      <c r="AM61" s="183"/>
      <c r="AN61" s="185"/>
      <c r="AO61" s="185"/>
      <c r="AP61" s="185"/>
      <c r="AQ61" s="272"/>
    </row>
    <row r="62" spans="1:43" x14ac:dyDescent="0.25">
      <c r="A62" s="402"/>
      <c r="B62" s="332"/>
      <c r="C62" s="332"/>
      <c r="D62" s="332"/>
      <c r="E62" s="400"/>
      <c r="F62" s="123">
        <f t="shared" si="5"/>
        <v>8</v>
      </c>
      <c r="G62" s="75" t="s">
        <v>101</v>
      </c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19"/>
      <c r="AC62" s="31"/>
      <c r="AD62" s="74">
        <v>100000000</v>
      </c>
      <c r="AE62" s="63">
        <f t="shared" si="3"/>
        <v>0.75786312836539782</v>
      </c>
      <c r="AF62" s="196"/>
      <c r="AG62" s="184"/>
      <c r="AH62" s="188">
        <f t="shared" si="4"/>
        <v>30000000</v>
      </c>
      <c r="AI62" s="303"/>
      <c r="AJ62" s="188">
        <f>0.7*AD62</f>
        <v>70000000</v>
      </c>
      <c r="AK62" s="208"/>
      <c r="AL62" s="183"/>
      <c r="AM62" s="183"/>
      <c r="AN62" s="183"/>
      <c r="AO62" s="185"/>
      <c r="AP62" s="185"/>
      <c r="AQ62" s="272"/>
    </row>
    <row r="63" spans="1:43" x14ac:dyDescent="0.25">
      <c r="A63" s="402"/>
      <c r="B63" s="332"/>
      <c r="C63" s="332"/>
      <c r="D63" s="332"/>
      <c r="E63" s="400"/>
      <c r="F63" s="123">
        <f t="shared" si="5"/>
        <v>9</v>
      </c>
      <c r="G63" s="75" t="s">
        <v>102</v>
      </c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19"/>
      <c r="AC63" s="31"/>
      <c r="AD63" s="74">
        <v>150000000</v>
      </c>
      <c r="AE63" s="63">
        <f t="shared" si="3"/>
        <v>1.1367946925480967</v>
      </c>
      <c r="AF63" s="196"/>
      <c r="AG63" s="184"/>
      <c r="AH63" s="188">
        <f t="shared" si="4"/>
        <v>45000000</v>
      </c>
      <c r="AI63" s="303"/>
      <c r="AJ63" s="188">
        <f>0.5*AD63-(0.5*AH63)</f>
        <v>52500000</v>
      </c>
      <c r="AK63" s="188">
        <f>+AJ63</f>
        <v>52500000</v>
      </c>
      <c r="AL63" s="183"/>
      <c r="AM63" s="183"/>
      <c r="AN63" s="183"/>
      <c r="AO63" s="185"/>
      <c r="AP63" s="185"/>
      <c r="AQ63" s="272"/>
    </row>
    <row r="64" spans="1:43" x14ac:dyDescent="0.25">
      <c r="A64" s="402"/>
      <c r="B64" s="332"/>
      <c r="C64" s="332"/>
      <c r="D64" s="332"/>
      <c r="E64" s="400"/>
      <c r="F64" s="123">
        <f t="shared" si="5"/>
        <v>10</v>
      </c>
      <c r="G64" s="75" t="s">
        <v>103</v>
      </c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19"/>
      <c r="AC64" s="31"/>
      <c r="AD64" s="74">
        <v>50000000</v>
      </c>
      <c r="AE64" s="63">
        <f t="shared" si="3"/>
        <v>0.37893156418269891</v>
      </c>
      <c r="AF64" s="196"/>
      <c r="AG64" s="184"/>
      <c r="AH64" s="188">
        <f t="shared" si="4"/>
        <v>15000000</v>
      </c>
      <c r="AI64" s="303"/>
      <c r="AJ64" s="188">
        <f>0.7*AD64</f>
        <v>35000000</v>
      </c>
      <c r="AK64" s="208"/>
      <c r="AL64" s="183"/>
      <c r="AM64" s="183"/>
      <c r="AN64" s="183"/>
      <c r="AO64" s="185"/>
      <c r="AP64" s="185"/>
      <c r="AQ64" s="272"/>
    </row>
    <row r="65" spans="1:43" x14ac:dyDescent="0.25">
      <c r="A65" s="402"/>
      <c r="B65" s="332"/>
      <c r="C65" s="332"/>
      <c r="D65" s="332"/>
      <c r="E65" s="400"/>
      <c r="F65" s="123">
        <f t="shared" si="5"/>
        <v>11</v>
      </c>
      <c r="G65" s="75" t="s">
        <v>104</v>
      </c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19"/>
      <c r="AC65" s="31"/>
      <c r="AD65" s="74">
        <v>135000000</v>
      </c>
      <c r="AE65" s="63">
        <f t="shared" si="3"/>
        <v>1.023115223293287</v>
      </c>
      <c r="AF65" s="196"/>
      <c r="AG65" s="184"/>
      <c r="AH65" s="188">
        <f t="shared" si="4"/>
        <v>40500000</v>
      </c>
      <c r="AI65" s="303"/>
      <c r="AJ65" s="188">
        <f>0.5*AD65-(0.5*AH65)</f>
        <v>47250000</v>
      </c>
      <c r="AK65" s="188">
        <f>+AJ65</f>
        <v>47250000</v>
      </c>
      <c r="AL65" s="208"/>
      <c r="AM65" s="183"/>
      <c r="AN65" s="183"/>
      <c r="AO65" s="185"/>
      <c r="AP65" s="185"/>
      <c r="AQ65" s="272"/>
    </row>
    <row r="66" spans="1:43" x14ac:dyDescent="0.25">
      <c r="A66" s="402"/>
      <c r="B66" s="332"/>
      <c r="C66" s="332"/>
      <c r="D66" s="332"/>
      <c r="E66" s="400"/>
      <c r="F66" s="123">
        <f t="shared" si="5"/>
        <v>12</v>
      </c>
      <c r="G66" s="75" t="s">
        <v>105</v>
      </c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19"/>
      <c r="AC66" s="31"/>
      <c r="AD66" s="74">
        <v>90000000</v>
      </c>
      <c r="AE66" s="63">
        <f t="shared" si="3"/>
        <v>0.68207681552885802</v>
      </c>
      <c r="AF66" s="196"/>
      <c r="AG66" s="184"/>
      <c r="AH66" s="188">
        <f t="shared" si="4"/>
        <v>27000000</v>
      </c>
      <c r="AI66" s="303"/>
      <c r="AJ66" s="188">
        <f>0.7*AD66</f>
        <v>62999999.999999993</v>
      </c>
      <c r="AK66" s="208"/>
      <c r="AL66" s="208"/>
      <c r="AM66" s="183"/>
      <c r="AN66" s="183"/>
      <c r="AO66" s="185"/>
      <c r="AP66" s="185"/>
      <c r="AQ66" s="272"/>
    </row>
    <row r="67" spans="1:43" x14ac:dyDescent="0.25">
      <c r="A67" s="402"/>
      <c r="B67" s="332"/>
      <c r="C67" s="332"/>
      <c r="D67" s="332"/>
      <c r="E67" s="400"/>
      <c r="F67" s="123">
        <f t="shared" si="5"/>
        <v>13</v>
      </c>
      <c r="G67" s="75" t="s">
        <v>106</v>
      </c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19"/>
      <c r="AC67" s="31"/>
      <c r="AD67" s="74">
        <v>50000000</v>
      </c>
      <c r="AE67" s="63">
        <f t="shared" si="3"/>
        <v>0.37893156418269891</v>
      </c>
      <c r="AF67" s="196"/>
      <c r="AG67" s="184"/>
      <c r="AH67" s="188">
        <f t="shared" si="4"/>
        <v>15000000</v>
      </c>
      <c r="AI67" s="303"/>
      <c r="AJ67" s="188">
        <f>0.7*AD67</f>
        <v>35000000</v>
      </c>
      <c r="AK67" s="208"/>
      <c r="AL67" s="183"/>
      <c r="AM67" s="183"/>
      <c r="AN67" s="183"/>
      <c r="AO67" s="185"/>
      <c r="AP67" s="185"/>
      <c r="AQ67" s="272"/>
    </row>
    <row r="68" spans="1:43" x14ac:dyDescent="0.25">
      <c r="A68" s="402"/>
      <c r="B68" s="332"/>
      <c r="C68" s="332"/>
      <c r="D68" s="332"/>
      <c r="E68" s="400"/>
      <c r="F68" s="123">
        <f t="shared" si="5"/>
        <v>14</v>
      </c>
      <c r="G68" s="75" t="s">
        <v>107</v>
      </c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19"/>
      <c r="AC68" s="31"/>
      <c r="AD68" s="74">
        <v>50000000</v>
      </c>
      <c r="AE68" s="63">
        <f t="shared" si="3"/>
        <v>0.37893156418269891</v>
      </c>
      <c r="AF68" s="196"/>
      <c r="AG68" s="190"/>
      <c r="AH68" s="188">
        <f t="shared" si="4"/>
        <v>15000000</v>
      </c>
      <c r="AI68" s="303"/>
      <c r="AJ68" s="188">
        <f>0.7*AD68</f>
        <v>35000000</v>
      </c>
      <c r="AK68" s="208"/>
      <c r="AL68" s="208"/>
      <c r="AM68" s="183"/>
      <c r="AN68" s="183"/>
      <c r="AO68" s="183"/>
      <c r="AP68" s="183"/>
      <c r="AQ68" s="272"/>
    </row>
    <row r="69" spans="1:43" x14ac:dyDescent="0.25">
      <c r="A69" s="402"/>
      <c r="B69" s="332"/>
      <c r="C69" s="332"/>
      <c r="D69" s="332"/>
      <c r="E69" s="400"/>
      <c r="F69" s="123">
        <f t="shared" si="5"/>
        <v>15</v>
      </c>
      <c r="G69" s="75" t="s">
        <v>108</v>
      </c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19"/>
      <c r="AC69" s="31"/>
      <c r="AD69" s="74">
        <v>100000000</v>
      </c>
      <c r="AE69" s="63">
        <f t="shared" si="3"/>
        <v>0.75786312836539782</v>
      </c>
      <c r="AF69" s="196"/>
      <c r="AG69" s="190"/>
      <c r="AH69" s="188">
        <f t="shared" si="4"/>
        <v>30000000</v>
      </c>
      <c r="AI69" s="303"/>
      <c r="AJ69" s="188">
        <f>0.7*AD69</f>
        <v>70000000</v>
      </c>
      <c r="AK69" s="208"/>
      <c r="AL69" s="183"/>
      <c r="AM69" s="183"/>
      <c r="AN69" s="183"/>
      <c r="AO69" s="183"/>
      <c r="AP69" s="183"/>
      <c r="AQ69" s="272"/>
    </row>
    <row r="70" spans="1:43" x14ac:dyDescent="0.25">
      <c r="A70" s="402"/>
      <c r="B70" s="332"/>
      <c r="C70" s="332"/>
      <c r="D70" s="332"/>
      <c r="E70" s="400"/>
      <c r="F70" s="123">
        <f t="shared" si="5"/>
        <v>16</v>
      </c>
      <c r="G70" s="75" t="s">
        <v>109</v>
      </c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19"/>
      <c r="AC70" s="31"/>
      <c r="AD70" s="74">
        <v>150000000</v>
      </c>
      <c r="AE70" s="63">
        <f t="shared" si="3"/>
        <v>1.1367946925480967</v>
      </c>
      <c r="AF70" s="196"/>
      <c r="AG70" s="190"/>
      <c r="AH70" s="188">
        <f t="shared" si="4"/>
        <v>45000000</v>
      </c>
      <c r="AI70" s="303"/>
      <c r="AJ70" s="188">
        <f>0.5*AD70-(0.5*AH70)</f>
        <v>52500000</v>
      </c>
      <c r="AK70" s="188">
        <f>+AJ70</f>
        <v>52500000</v>
      </c>
      <c r="AL70" s="183"/>
      <c r="AM70" s="183"/>
      <c r="AN70" s="183"/>
      <c r="AO70" s="183"/>
      <c r="AP70" s="183"/>
      <c r="AQ70" s="272"/>
    </row>
    <row r="71" spans="1:43" x14ac:dyDescent="0.25">
      <c r="A71" s="402"/>
      <c r="B71" s="332"/>
      <c r="C71" s="332"/>
      <c r="D71" s="332"/>
      <c r="E71" s="400"/>
      <c r="F71" s="123">
        <f t="shared" si="5"/>
        <v>17</v>
      </c>
      <c r="G71" s="75" t="s">
        <v>110</v>
      </c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19"/>
      <c r="AC71" s="31"/>
      <c r="AD71" s="74">
        <v>150000000</v>
      </c>
      <c r="AE71" s="63">
        <f t="shared" si="3"/>
        <v>1.1367946925480967</v>
      </c>
      <c r="AF71" s="196"/>
      <c r="AG71" s="190"/>
      <c r="AH71" s="188">
        <f t="shared" si="4"/>
        <v>45000000</v>
      </c>
      <c r="AI71" s="303"/>
      <c r="AJ71" s="188">
        <f>0.5*AD71-(0.5*AH71)</f>
        <v>52500000</v>
      </c>
      <c r="AK71" s="188">
        <f>+AJ71</f>
        <v>52500000</v>
      </c>
      <c r="AL71" s="183"/>
      <c r="AM71" s="183"/>
      <c r="AN71" s="183"/>
      <c r="AO71" s="183"/>
      <c r="AP71" s="183"/>
      <c r="AQ71" s="272"/>
    </row>
    <row r="72" spans="1:43" x14ac:dyDescent="0.25">
      <c r="A72" s="402"/>
      <c r="B72" s="332"/>
      <c r="C72" s="332"/>
      <c r="D72" s="332"/>
      <c r="E72" s="400"/>
      <c r="F72" s="123">
        <f t="shared" si="5"/>
        <v>18</v>
      </c>
      <c r="G72" s="75" t="s">
        <v>111</v>
      </c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19"/>
      <c r="AC72" s="31"/>
      <c r="AD72" s="74">
        <v>131174000</v>
      </c>
      <c r="AE72" s="63">
        <f t="shared" si="3"/>
        <v>0.99411938000202693</v>
      </c>
      <c r="AF72" s="196"/>
      <c r="AG72" s="190"/>
      <c r="AH72" s="188">
        <f t="shared" si="4"/>
        <v>39352200</v>
      </c>
      <c r="AI72" s="303"/>
      <c r="AJ72" s="188">
        <f>0.5*AD72-(0.5*AH72)</f>
        <v>45910900</v>
      </c>
      <c r="AK72" s="188">
        <f>+AJ72</f>
        <v>45910900</v>
      </c>
      <c r="AL72" s="183"/>
      <c r="AM72" s="183"/>
      <c r="AN72" s="183"/>
      <c r="AO72" s="183"/>
      <c r="AP72" s="183"/>
      <c r="AQ72" s="272"/>
    </row>
    <row r="73" spans="1:43" x14ac:dyDescent="0.25">
      <c r="A73" s="402"/>
      <c r="B73" s="332"/>
      <c r="C73" s="332"/>
      <c r="D73" s="332"/>
      <c r="E73" s="400"/>
      <c r="F73" s="123">
        <f t="shared" si="5"/>
        <v>19</v>
      </c>
      <c r="G73" s="75" t="s">
        <v>112</v>
      </c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19"/>
      <c r="AC73" s="31"/>
      <c r="AD73" s="74">
        <v>100000000</v>
      </c>
      <c r="AE73" s="63">
        <f t="shared" si="3"/>
        <v>0.75786312836539782</v>
      </c>
      <c r="AF73" s="196"/>
      <c r="AG73" s="190"/>
      <c r="AH73" s="188">
        <f t="shared" si="4"/>
        <v>30000000</v>
      </c>
      <c r="AI73" s="303"/>
      <c r="AJ73" s="188">
        <f t="shared" ref="AJ73:AJ79" si="6">0.7*AD73</f>
        <v>70000000</v>
      </c>
      <c r="AK73" s="208"/>
      <c r="AL73" s="183"/>
      <c r="AM73" s="183"/>
      <c r="AN73" s="183"/>
      <c r="AO73" s="183"/>
      <c r="AP73" s="183"/>
      <c r="AQ73" s="272"/>
    </row>
    <row r="74" spans="1:43" x14ac:dyDescent="0.25">
      <c r="A74" s="402"/>
      <c r="B74" s="332"/>
      <c r="C74" s="332"/>
      <c r="D74" s="332"/>
      <c r="E74" s="400"/>
      <c r="F74" s="123">
        <f t="shared" si="5"/>
        <v>20</v>
      </c>
      <c r="G74" s="75" t="s">
        <v>113</v>
      </c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19"/>
      <c r="AC74" s="31"/>
      <c r="AD74" s="74">
        <v>100000000</v>
      </c>
      <c r="AE74" s="63">
        <f t="shared" si="3"/>
        <v>0.75786312836539782</v>
      </c>
      <c r="AF74" s="196"/>
      <c r="AG74" s="190"/>
      <c r="AH74" s="188">
        <f t="shared" si="4"/>
        <v>30000000</v>
      </c>
      <c r="AI74" s="303"/>
      <c r="AJ74" s="188">
        <f t="shared" si="6"/>
        <v>70000000</v>
      </c>
      <c r="AK74" s="208"/>
      <c r="AL74" s="183"/>
      <c r="AM74" s="183"/>
      <c r="AN74" s="183"/>
      <c r="AO74" s="183"/>
      <c r="AP74" s="183"/>
      <c r="AQ74" s="272"/>
    </row>
    <row r="75" spans="1:43" x14ac:dyDescent="0.25">
      <c r="A75" s="402"/>
      <c r="B75" s="332"/>
      <c r="C75" s="332"/>
      <c r="D75" s="332"/>
      <c r="E75" s="400"/>
      <c r="F75" s="123">
        <f t="shared" si="5"/>
        <v>21</v>
      </c>
      <c r="G75" s="75" t="s">
        <v>114</v>
      </c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19"/>
      <c r="AC75" s="31"/>
      <c r="AD75" s="74">
        <v>50000000</v>
      </c>
      <c r="AE75" s="63">
        <f t="shared" si="3"/>
        <v>0.37893156418269891</v>
      </c>
      <c r="AF75" s="196"/>
      <c r="AG75" s="190"/>
      <c r="AH75" s="188">
        <f t="shared" si="4"/>
        <v>15000000</v>
      </c>
      <c r="AI75" s="303"/>
      <c r="AJ75" s="188">
        <f t="shared" si="6"/>
        <v>35000000</v>
      </c>
      <c r="AK75" s="303"/>
      <c r="AL75" s="186"/>
      <c r="AM75" s="183"/>
      <c r="AN75" s="183"/>
      <c r="AO75" s="183"/>
      <c r="AP75" s="183"/>
      <c r="AQ75" s="272"/>
    </row>
    <row r="76" spans="1:43" x14ac:dyDescent="0.25">
      <c r="A76" s="402"/>
      <c r="B76" s="332"/>
      <c r="C76" s="332"/>
      <c r="D76" s="332"/>
      <c r="E76" s="400"/>
      <c r="F76" s="123">
        <f t="shared" si="5"/>
        <v>22</v>
      </c>
      <c r="G76" s="75" t="s">
        <v>230</v>
      </c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19"/>
      <c r="AC76" s="31"/>
      <c r="AD76" s="74">
        <v>50000000</v>
      </c>
      <c r="AE76" s="63">
        <f t="shared" si="3"/>
        <v>0.37893156418269891</v>
      </c>
      <c r="AF76" s="196"/>
      <c r="AG76" s="190"/>
      <c r="AH76" s="188">
        <f t="shared" si="4"/>
        <v>15000000</v>
      </c>
      <c r="AI76" s="303"/>
      <c r="AJ76" s="188">
        <f t="shared" si="6"/>
        <v>35000000</v>
      </c>
      <c r="AK76" s="208"/>
      <c r="AL76" s="208"/>
      <c r="AM76" s="183"/>
      <c r="AN76" s="183"/>
      <c r="AO76" s="183"/>
      <c r="AP76" s="183"/>
      <c r="AQ76" s="272"/>
    </row>
    <row r="77" spans="1:43" x14ac:dyDescent="0.25">
      <c r="A77" s="402"/>
      <c r="B77" s="332"/>
      <c r="C77" s="332"/>
      <c r="D77" s="332"/>
      <c r="E77" s="400"/>
      <c r="F77" s="123">
        <f t="shared" si="5"/>
        <v>23</v>
      </c>
      <c r="G77" s="75" t="s">
        <v>231</v>
      </c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19"/>
      <c r="AC77" s="31"/>
      <c r="AD77" s="74">
        <v>50000000</v>
      </c>
      <c r="AE77" s="63">
        <f t="shared" si="3"/>
        <v>0.37893156418269891</v>
      </c>
      <c r="AF77" s="196"/>
      <c r="AG77" s="190"/>
      <c r="AH77" s="188">
        <f t="shared" si="4"/>
        <v>15000000</v>
      </c>
      <c r="AI77" s="303"/>
      <c r="AJ77" s="188">
        <f t="shared" si="6"/>
        <v>35000000</v>
      </c>
      <c r="AK77" s="208"/>
      <c r="AL77" s="208"/>
      <c r="AM77" s="300"/>
      <c r="AN77" s="300"/>
      <c r="AO77" s="183"/>
      <c r="AP77" s="183"/>
      <c r="AQ77" s="272"/>
    </row>
    <row r="78" spans="1:43" x14ac:dyDescent="0.25">
      <c r="A78" s="402"/>
      <c r="B78" s="332"/>
      <c r="C78" s="332"/>
      <c r="D78" s="332"/>
      <c r="E78" s="400"/>
      <c r="F78" s="123">
        <f t="shared" si="5"/>
        <v>24</v>
      </c>
      <c r="G78" s="75" t="s">
        <v>232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19"/>
      <c r="AC78" s="31"/>
      <c r="AD78" s="74">
        <v>50000000</v>
      </c>
      <c r="AE78" s="63">
        <f t="shared" si="3"/>
        <v>0.37893156418269891</v>
      </c>
      <c r="AF78" s="196"/>
      <c r="AG78" s="190"/>
      <c r="AH78" s="188">
        <f t="shared" si="4"/>
        <v>15000000</v>
      </c>
      <c r="AI78" s="303"/>
      <c r="AJ78" s="188">
        <f t="shared" si="6"/>
        <v>35000000</v>
      </c>
      <c r="AK78" s="208"/>
      <c r="AL78" s="208"/>
      <c r="AM78" s="183"/>
      <c r="AN78" s="183"/>
      <c r="AO78" s="183"/>
      <c r="AP78" s="183"/>
      <c r="AQ78" s="272"/>
    </row>
    <row r="79" spans="1:43" x14ac:dyDescent="0.25">
      <c r="A79" s="402"/>
      <c r="B79" s="332"/>
      <c r="C79" s="332"/>
      <c r="D79" s="332"/>
      <c r="E79" s="400"/>
      <c r="F79" s="123">
        <f t="shared" si="5"/>
        <v>25</v>
      </c>
      <c r="G79" s="75" t="s">
        <v>233</v>
      </c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19"/>
      <c r="AC79" s="31"/>
      <c r="AD79" s="74">
        <v>50000000</v>
      </c>
      <c r="AE79" s="63">
        <f t="shared" si="3"/>
        <v>0.37893156418269891</v>
      </c>
      <c r="AF79" s="196"/>
      <c r="AG79" s="190"/>
      <c r="AH79" s="188">
        <f t="shared" si="4"/>
        <v>15000000</v>
      </c>
      <c r="AI79" s="189"/>
      <c r="AJ79" s="188">
        <f t="shared" si="6"/>
        <v>35000000</v>
      </c>
      <c r="AK79" s="208"/>
      <c r="AL79" s="208"/>
      <c r="AM79" s="183"/>
      <c r="AN79" s="183"/>
      <c r="AO79" s="183"/>
      <c r="AP79" s="183"/>
      <c r="AQ79" s="272"/>
    </row>
    <row r="80" spans="1:43" x14ac:dyDescent="0.25">
      <c r="A80" s="402"/>
      <c r="B80" s="332"/>
      <c r="C80" s="332"/>
      <c r="D80" s="332"/>
      <c r="E80" s="400"/>
      <c r="F80" s="123">
        <f t="shared" si="5"/>
        <v>26</v>
      </c>
      <c r="G80" s="75" t="s">
        <v>115</v>
      </c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19"/>
      <c r="AC80" s="31"/>
      <c r="AD80" s="74">
        <v>200000000</v>
      </c>
      <c r="AE80" s="63">
        <f t="shared" si="3"/>
        <v>1.5157262567307956</v>
      </c>
      <c r="AF80" s="196"/>
      <c r="AG80" s="190"/>
      <c r="AH80" s="188">
        <f t="shared" si="4"/>
        <v>60000000</v>
      </c>
      <c r="AI80" s="189"/>
      <c r="AJ80" s="188">
        <f>0.5*AD80-(0.5*AH80)</f>
        <v>70000000</v>
      </c>
      <c r="AK80" s="188">
        <f>+AJ80</f>
        <v>70000000</v>
      </c>
      <c r="AL80" s="208"/>
      <c r="AM80" s="183"/>
      <c r="AN80" s="183"/>
      <c r="AO80" s="183"/>
      <c r="AP80" s="183"/>
      <c r="AQ80" s="272"/>
    </row>
    <row r="81" spans="1:43" x14ac:dyDescent="0.25">
      <c r="A81" s="402"/>
      <c r="B81" s="332"/>
      <c r="C81" s="332"/>
      <c r="D81" s="332"/>
      <c r="E81" s="400"/>
      <c r="F81" s="123">
        <f t="shared" si="5"/>
        <v>27</v>
      </c>
      <c r="G81" s="75" t="s">
        <v>116</v>
      </c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19"/>
      <c r="AC81" s="31"/>
      <c r="AD81" s="74">
        <v>200000000</v>
      </c>
      <c r="AE81" s="63">
        <f t="shared" si="3"/>
        <v>1.5157262567307956</v>
      </c>
      <c r="AF81" s="196"/>
      <c r="AG81" s="190"/>
      <c r="AH81" s="188">
        <f t="shared" si="4"/>
        <v>60000000</v>
      </c>
      <c r="AI81" s="189"/>
      <c r="AJ81" s="188">
        <f>0.5*AD81-(0.5*AH81)</f>
        <v>70000000</v>
      </c>
      <c r="AK81" s="188">
        <f>+AJ81</f>
        <v>70000000</v>
      </c>
      <c r="AL81" s="208"/>
      <c r="AM81" s="183"/>
      <c r="AN81" s="183"/>
      <c r="AO81" s="183"/>
      <c r="AP81" s="183"/>
      <c r="AQ81" s="272"/>
    </row>
    <row r="82" spans="1:43" x14ac:dyDescent="0.25">
      <c r="A82" s="402"/>
      <c r="B82" s="332"/>
      <c r="C82" s="332"/>
      <c r="D82" s="332"/>
      <c r="E82" s="400"/>
      <c r="F82" s="123">
        <f t="shared" si="5"/>
        <v>28</v>
      </c>
      <c r="G82" s="75" t="s">
        <v>117</v>
      </c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19"/>
      <c r="AC82" s="31"/>
      <c r="AD82" s="74">
        <v>50000000</v>
      </c>
      <c r="AE82" s="63">
        <f t="shared" si="3"/>
        <v>0.37893156418269891</v>
      </c>
      <c r="AF82" s="196"/>
      <c r="AG82" s="190"/>
      <c r="AH82" s="188">
        <f t="shared" si="4"/>
        <v>15000000</v>
      </c>
      <c r="AI82" s="189"/>
      <c r="AJ82" s="188">
        <f>0.7*AD82</f>
        <v>35000000</v>
      </c>
      <c r="AK82" s="208"/>
      <c r="AL82" s="208"/>
      <c r="AM82" s="183"/>
      <c r="AN82" s="183"/>
      <c r="AO82" s="183"/>
      <c r="AP82" s="183"/>
      <c r="AQ82" s="272"/>
    </row>
    <row r="83" spans="1:43" x14ac:dyDescent="0.25">
      <c r="A83" s="405"/>
      <c r="B83" s="336"/>
      <c r="C83" s="336"/>
      <c r="D83" s="336"/>
      <c r="E83" s="406"/>
      <c r="F83" s="123">
        <f t="shared" si="5"/>
        <v>29</v>
      </c>
      <c r="G83" s="85" t="s">
        <v>118</v>
      </c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220"/>
      <c r="AC83" s="221"/>
      <c r="AD83" s="74">
        <v>50000000</v>
      </c>
      <c r="AE83" s="63">
        <f t="shared" si="3"/>
        <v>0.37893156418269891</v>
      </c>
      <c r="AF83" s="222"/>
      <c r="AG83" s="215"/>
      <c r="AH83" s="188">
        <f t="shared" si="4"/>
        <v>15000000</v>
      </c>
      <c r="AI83" s="189"/>
      <c r="AJ83" s="188">
        <f>0.7*AD83</f>
        <v>35000000</v>
      </c>
      <c r="AK83" s="208"/>
      <c r="AL83" s="208"/>
      <c r="AM83" s="216"/>
      <c r="AN83" s="216"/>
      <c r="AO83" s="216"/>
      <c r="AP83" s="216"/>
      <c r="AQ83" s="277"/>
    </row>
    <row r="84" spans="1:43" ht="13.8" thickBot="1" x14ac:dyDescent="0.3">
      <c r="A84" s="405"/>
      <c r="B84" s="336"/>
      <c r="C84" s="336"/>
      <c r="D84" s="336"/>
      <c r="E84" s="406"/>
      <c r="F84" s="123">
        <f t="shared" si="5"/>
        <v>30</v>
      </c>
      <c r="G84" s="85" t="s">
        <v>234</v>
      </c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220"/>
      <c r="AC84" s="221"/>
      <c r="AD84" s="74">
        <v>50000000</v>
      </c>
      <c r="AE84" s="63">
        <f t="shared" si="3"/>
        <v>0.37893156418269891</v>
      </c>
      <c r="AF84" s="222"/>
      <c r="AG84" s="215"/>
      <c r="AH84" s="188">
        <f t="shared" si="4"/>
        <v>15000000</v>
      </c>
      <c r="AI84" s="189"/>
      <c r="AJ84" s="188">
        <f>0.7*AD84</f>
        <v>35000000</v>
      </c>
      <c r="AK84" s="304"/>
      <c r="AL84" s="304"/>
      <c r="AM84" s="216"/>
      <c r="AN84" s="216"/>
      <c r="AO84" s="216"/>
      <c r="AP84" s="216"/>
      <c r="AQ84" s="277"/>
    </row>
    <row r="85" spans="1:43" ht="13.8" thickTop="1" x14ac:dyDescent="0.25">
      <c r="A85" s="407"/>
      <c r="B85" s="408"/>
      <c r="C85" s="408"/>
      <c r="D85" s="408"/>
      <c r="E85" s="409"/>
      <c r="F85" s="242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  <c r="AA85" s="237"/>
      <c r="AB85" s="238"/>
      <c r="AC85" s="239"/>
      <c r="AD85" s="257">
        <f>SUM(AF85:AQ85)</f>
        <v>2948606000</v>
      </c>
      <c r="AE85" s="240"/>
      <c r="AF85" s="241">
        <f>SUM(AF16:AF84)</f>
        <v>4772500</v>
      </c>
      <c r="AG85" s="241">
        <f t="shared" ref="AG85:AQ85" si="7">SUM(AG16:AG84)</f>
        <v>42500000</v>
      </c>
      <c r="AH85" s="241">
        <f t="shared" si="7"/>
        <v>817074700</v>
      </c>
      <c r="AI85" s="241">
        <f t="shared" si="7"/>
        <v>42050000</v>
      </c>
      <c r="AJ85" s="439">
        <f>SUM(AJ16:AJ84)</f>
        <v>1459087900</v>
      </c>
      <c r="AK85" s="241">
        <f t="shared" si="7"/>
        <v>456660900</v>
      </c>
      <c r="AL85" s="241">
        <f t="shared" si="7"/>
        <v>38799500</v>
      </c>
      <c r="AM85" s="241">
        <f t="shared" si="7"/>
        <v>43794000</v>
      </c>
      <c r="AN85" s="241">
        <f t="shared" si="7"/>
        <v>26966500</v>
      </c>
      <c r="AO85" s="241">
        <f t="shared" si="7"/>
        <v>14900000</v>
      </c>
      <c r="AP85" s="241">
        <f t="shared" si="7"/>
        <v>1000000</v>
      </c>
      <c r="AQ85" s="278">
        <f t="shared" si="7"/>
        <v>1000000</v>
      </c>
    </row>
    <row r="86" spans="1:43" ht="13.8" thickBot="1" x14ac:dyDescent="0.3">
      <c r="A86" s="440"/>
      <c r="B86" s="441"/>
      <c r="C86" s="441"/>
      <c r="D86" s="441"/>
      <c r="E86" s="442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62"/>
      <c r="AC86" s="244"/>
      <c r="AD86" s="266" t="s">
        <v>225</v>
      </c>
      <c r="AE86" s="245"/>
      <c r="AF86" s="978">
        <f>+AF85+AG85+AH85</f>
        <v>864347200</v>
      </c>
      <c r="AG86" s="979"/>
      <c r="AH86" s="258"/>
      <c r="AI86" s="1007">
        <f>+AI85+AJ85+AK85</f>
        <v>1957798800</v>
      </c>
      <c r="AJ86" s="1008"/>
      <c r="AK86" s="259"/>
      <c r="AL86" s="1009">
        <f>+AL85+AM85+AN85</f>
        <v>109560000</v>
      </c>
      <c r="AM86" s="1010"/>
      <c r="AN86" s="977">
        <f>+AO85+AP85+AQ85</f>
        <v>16900000</v>
      </c>
      <c r="AO86" s="984"/>
      <c r="AP86" s="261"/>
      <c r="AQ86" s="279"/>
    </row>
    <row r="87" spans="1:43" x14ac:dyDescent="0.25">
      <c r="A87" s="223" t="s">
        <v>212</v>
      </c>
      <c r="B87" s="410"/>
      <c r="C87" s="410"/>
      <c r="D87" s="410"/>
      <c r="E87" s="411"/>
      <c r="F87" s="225"/>
      <c r="G87" s="226"/>
      <c r="H87" s="226" t="s">
        <v>211</v>
      </c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7"/>
      <c r="AC87" s="228"/>
      <c r="AD87" s="229">
        <f>AD88</f>
        <v>3210321000</v>
      </c>
      <c r="AE87" s="63">
        <f>(AD87/AD$13)*100</f>
        <v>24.329839161171321</v>
      </c>
      <c r="AF87" s="231"/>
      <c r="AG87" s="232"/>
      <c r="AH87" s="232"/>
      <c r="AI87" s="231"/>
      <c r="AJ87" s="233"/>
      <c r="AK87" s="231"/>
      <c r="AL87" s="231"/>
      <c r="AM87" s="234"/>
      <c r="AN87" s="234"/>
      <c r="AO87" s="234"/>
      <c r="AP87" s="256"/>
      <c r="AQ87" s="280"/>
    </row>
    <row r="88" spans="1:43" x14ac:dyDescent="0.25">
      <c r="A88" s="328">
        <v>5</v>
      </c>
      <c r="B88" s="390">
        <v>2</v>
      </c>
      <c r="C88" s="391"/>
      <c r="D88" s="392"/>
      <c r="E88" s="393"/>
      <c r="F88" s="73" t="s">
        <v>120</v>
      </c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86"/>
      <c r="AD88" s="74">
        <f>+AD89</f>
        <v>3210321000</v>
      </c>
      <c r="AE88" s="63">
        <f>(AD88/AD$13)*100</f>
        <v>24.329839161171321</v>
      </c>
      <c r="AF88" s="188"/>
      <c r="AG88" s="184"/>
      <c r="AH88" s="190"/>
      <c r="AI88" s="188"/>
      <c r="AJ88" s="189"/>
      <c r="AK88" s="186"/>
      <c r="AL88" s="188"/>
      <c r="AM88" s="183"/>
      <c r="AN88" s="185"/>
      <c r="AO88" s="183"/>
      <c r="AP88" s="183"/>
      <c r="AQ88" s="272"/>
    </row>
    <row r="89" spans="1:43" x14ac:dyDescent="0.25">
      <c r="A89" s="402">
        <v>5</v>
      </c>
      <c r="B89" s="332">
        <v>2</v>
      </c>
      <c r="C89" s="332">
        <v>2</v>
      </c>
      <c r="D89" s="332"/>
      <c r="E89" s="400" t="s">
        <v>33</v>
      </c>
      <c r="F89" s="44" t="s">
        <v>83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6"/>
      <c r="AD89" s="34">
        <f>+AD92+AD104+AD106+AD110+AD112+AD118+AD120+AD122+AD124+AD128</f>
        <v>3210321000</v>
      </c>
      <c r="AE89" s="63">
        <f>(AD89/AD$13)*100</f>
        <v>24.329839161171321</v>
      </c>
      <c r="AF89" s="186"/>
      <c r="AG89" s="184"/>
      <c r="AH89" s="184"/>
      <c r="AI89" s="186"/>
      <c r="AJ89" s="189"/>
      <c r="AK89" s="186"/>
      <c r="AL89" s="186"/>
      <c r="AM89" s="185"/>
      <c r="AN89" s="185"/>
      <c r="AO89" s="185"/>
      <c r="AP89" s="185"/>
      <c r="AQ89" s="272"/>
    </row>
    <row r="90" spans="1:43" x14ac:dyDescent="0.25">
      <c r="A90" s="402">
        <v>5</v>
      </c>
      <c r="B90" s="332">
        <v>2</v>
      </c>
      <c r="C90" s="332">
        <v>2</v>
      </c>
      <c r="D90" s="332">
        <v>27</v>
      </c>
      <c r="E90" s="400"/>
      <c r="F90" s="420" t="s">
        <v>119</v>
      </c>
      <c r="G90" s="323"/>
      <c r="H90" s="323"/>
      <c r="I90" s="323"/>
      <c r="J90" s="323"/>
      <c r="K90" s="323"/>
      <c r="L90" s="323"/>
      <c r="M90" s="323"/>
      <c r="N90" s="323"/>
      <c r="O90" s="323"/>
      <c r="P90" s="323"/>
      <c r="Q90" s="323"/>
      <c r="R90" s="323"/>
      <c r="S90" s="323"/>
      <c r="T90" s="323"/>
      <c r="U90" s="323"/>
      <c r="V90" s="323"/>
      <c r="W90" s="323"/>
      <c r="X90" s="323"/>
      <c r="Y90" s="323"/>
      <c r="Z90" s="323"/>
      <c r="AA90" s="323"/>
      <c r="AB90" s="323"/>
      <c r="AC90" s="324"/>
      <c r="AD90" s="34"/>
      <c r="AE90" s="127"/>
      <c r="AF90" s="186"/>
      <c r="AG90" s="184"/>
      <c r="AH90" s="184"/>
      <c r="AI90" s="186"/>
      <c r="AJ90" s="189"/>
      <c r="AK90" s="186"/>
      <c r="AL90" s="186"/>
      <c r="AM90" s="185"/>
      <c r="AN90" s="185"/>
      <c r="AO90" s="185"/>
      <c r="AP90" s="185"/>
      <c r="AQ90" s="272"/>
    </row>
    <row r="91" spans="1:43" x14ac:dyDescent="0.25">
      <c r="A91" s="402">
        <v>5</v>
      </c>
      <c r="B91" s="332">
        <v>2</v>
      </c>
      <c r="C91" s="332">
        <v>2</v>
      </c>
      <c r="D91" s="332">
        <v>27</v>
      </c>
      <c r="E91" s="403" t="s">
        <v>5</v>
      </c>
      <c r="F91" s="420" t="s">
        <v>121</v>
      </c>
      <c r="G91" s="323"/>
      <c r="H91" s="323"/>
      <c r="I91" s="323"/>
      <c r="J91" s="323"/>
      <c r="K91" s="323"/>
      <c r="L91" s="323"/>
      <c r="M91" s="323"/>
      <c r="N91" s="323"/>
      <c r="O91" s="323"/>
      <c r="P91" s="323"/>
      <c r="Q91" s="323"/>
      <c r="R91" s="323"/>
      <c r="S91" s="323"/>
      <c r="T91" s="323"/>
      <c r="U91" s="323"/>
      <c r="V91" s="323"/>
      <c r="W91" s="323"/>
      <c r="X91" s="323"/>
      <c r="Y91" s="323"/>
      <c r="Z91" s="323"/>
      <c r="AA91" s="323"/>
      <c r="AB91" s="323"/>
      <c r="AC91" s="324"/>
      <c r="AD91" s="34"/>
      <c r="AE91" s="127"/>
      <c r="AF91" s="186"/>
      <c r="AG91" s="184"/>
      <c r="AH91" s="184"/>
      <c r="AI91" s="186"/>
      <c r="AJ91" s="189"/>
      <c r="AK91" s="186"/>
      <c r="AL91" s="186"/>
      <c r="AM91" s="185"/>
      <c r="AN91" s="185"/>
      <c r="AO91" s="185"/>
      <c r="AP91" s="185"/>
      <c r="AQ91" s="272"/>
    </row>
    <row r="92" spans="1:43" x14ac:dyDescent="0.25">
      <c r="A92" s="402"/>
      <c r="B92" s="332"/>
      <c r="C92" s="332"/>
      <c r="D92" s="332"/>
      <c r="E92" s="403" t="s">
        <v>37</v>
      </c>
      <c r="F92" s="420" t="s">
        <v>122</v>
      </c>
      <c r="G92" s="323"/>
      <c r="H92" s="323"/>
      <c r="I92" s="323"/>
      <c r="J92" s="323"/>
      <c r="K92" s="323"/>
      <c r="L92" s="323"/>
      <c r="M92" s="323"/>
      <c r="N92" s="323"/>
      <c r="O92" s="323"/>
      <c r="P92" s="323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23"/>
      <c r="AC92" s="324"/>
      <c r="AD92" s="34">
        <f>SUM(AD93:AD101)</f>
        <v>2838359000</v>
      </c>
      <c r="AE92" s="63">
        <f t="shared" ref="AE92:AE101" si="8">(AD92/AD$13)*100</f>
        <v>21.510876311640821</v>
      </c>
      <c r="AF92" s="186"/>
      <c r="AG92" s="184"/>
      <c r="AH92" s="184"/>
      <c r="AI92" s="186"/>
      <c r="AJ92" s="189"/>
      <c r="AK92" s="186"/>
      <c r="AL92" s="186"/>
      <c r="AM92" s="185"/>
      <c r="AN92" s="185"/>
      <c r="AO92" s="185"/>
      <c r="AP92" s="185"/>
      <c r="AQ92" s="272"/>
    </row>
    <row r="93" spans="1:43" x14ac:dyDescent="0.25">
      <c r="A93" s="402"/>
      <c r="B93" s="332"/>
      <c r="C93" s="332"/>
      <c r="D93" s="332"/>
      <c r="E93" s="400"/>
      <c r="F93" s="125">
        <v>1</v>
      </c>
      <c r="G93" s="421" t="s">
        <v>123</v>
      </c>
      <c r="H93" s="323"/>
      <c r="I93" s="323"/>
      <c r="J93" s="323"/>
      <c r="K93" s="323"/>
      <c r="L93" s="323"/>
      <c r="M93" s="323"/>
      <c r="N93" s="323"/>
      <c r="O93" s="323"/>
      <c r="P93" s="323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23"/>
      <c r="AC93" s="324"/>
      <c r="AD93" s="74">
        <v>200000000</v>
      </c>
      <c r="AE93" s="63">
        <f t="shared" si="8"/>
        <v>1.5157262567307956</v>
      </c>
      <c r="AF93" s="186"/>
      <c r="AG93" s="190"/>
      <c r="AH93" s="190">
        <f t="shared" ref="AH93:AH100" si="9">0.3*AD93</f>
        <v>60000000</v>
      </c>
      <c r="AI93" s="188"/>
      <c r="AJ93" s="189">
        <f>0.7*AD93</f>
        <v>140000000</v>
      </c>
      <c r="AK93" s="188"/>
      <c r="AL93" s="188"/>
      <c r="AM93" s="183"/>
      <c r="AN93" s="183"/>
      <c r="AO93" s="183"/>
      <c r="AP93" s="183"/>
      <c r="AQ93" s="273"/>
    </row>
    <row r="94" spans="1:43" x14ac:dyDescent="0.25">
      <c r="A94" s="402"/>
      <c r="B94" s="332"/>
      <c r="C94" s="332"/>
      <c r="D94" s="332"/>
      <c r="E94" s="400"/>
      <c r="F94" s="125">
        <f>+F93+1</f>
        <v>2</v>
      </c>
      <c r="G94" s="421" t="s">
        <v>235</v>
      </c>
      <c r="H94" s="323"/>
      <c r="I94" s="323"/>
      <c r="J94" s="323"/>
      <c r="K94" s="323"/>
      <c r="L94" s="323"/>
      <c r="M94" s="323"/>
      <c r="N94" s="323"/>
      <c r="O94" s="323"/>
      <c r="P94" s="323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23"/>
      <c r="AC94" s="324"/>
      <c r="AD94" s="74">
        <v>145000000</v>
      </c>
      <c r="AE94" s="63">
        <f t="shared" si="8"/>
        <v>1.0989015361298269</v>
      </c>
      <c r="AF94" s="186"/>
      <c r="AG94" s="190"/>
      <c r="AH94" s="190">
        <f t="shared" si="9"/>
        <v>43500000</v>
      </c>
      <c r="AI94" s="188"/>
      <c r="AJ94" s="189">
        <f>0.7*AD94</f>
        <v>101500000</v>
      </c>
      <c r="AK94" s="188"/>
      <c r="AL94" s="188"/>
      <c r="AM94" s="183"/>
      <c r="AN94" s="183"/>
      <c r="AO94" s="183"/>
      <c r="AP94" s="183"/>
      <c r="AQ94" s="273"/>
    </row>
    <row r="95" spans="1:43" x14ac:dyDescent="0.25">
      <c r="A95" s="402"/>
      <c r="B95" s="332"/>
      <c r="C95" s="332"/>
      <c r="D95" s="332"/>
      <c r="E95" s="400"/>
      <c r="F95" s="125">
        <f t="shared" ref="F95:F101" si="10">+F94+1</f>
        <v>3</v>
      </c>
      <c r="G95" s="421" t="s">
        <v>236</v>
      </c>
      <c r="H95" s="323"/>
      <c r="I95" s="323"/>
      <c r="J95" s="323"/>
      <c r="K95" s="323"/>
      <c r="L95" s="323"/>
      <c r="M95" s="323"/>
      <c r="N95" s="323"/>
      <c r="O95" s="323"/>
      <c r="P95" s="323"/>
      <c r="Q95" s="323"/>
      <c r="R95" s="323"/>
      <c r="S95" s="323"/>
      <c r="T95" s="323"/>
      <c r="U95" s="323"/>
      <c r="V95" s="323"/>
      <c r="W95" s="323"/>
      <c r="X95" s="323"/>
      <c r="Y95" s="323"/>
      <c r="Z95" s="323"/>
      <c r="AA95" s="323"/>
      <c r="AB95" s="323"/>
      <c r="AC95" s="324"/>
      <c r="AD95" s="74">
        <v>145000000</v>
      </c>
      <c r="AE95" s="63">
        <f t="shared" si="8"/>
        <v>1.0989015361298269</v>
      </c>
      <c r="AF95" s="186"/>
      <c r="AG95" s="190"/>
      <c r="AH95" s="190">
        <f t="shared" si="9"/>
        <v>43500000</v>
      </c>
      <c r="AI95" s="188"/>
      <c r="AJ95" s="189">
        <f>0.7*AD95</f>
        <v>101500000</v>
      </c>
      <c r="AK95" s="188"/>
      <c r="AL95" s="188"/>
      <c r="AM95" s="183"/>
      <c r="AN95" s="183"/>
      <c r="AO95" s="183"/>
      <c r="AP95" s="183"/>
      <c r="AQ95" s="273"/>
    </row>
    <row r="96" spans="1:43" x14ac:dyDescent="0.25">
      <c r="A96" s="402"/>
      <c r="B96" s="332"/>
      <c r="C96" s="332"/>
      <c r="D96" s="332"/>
      <c r="E96" s="400"/>
      <c r="F96" s="125">
        <f t="shared" si="10"/>
        <v>4</v>
      </c>
      <c r="G96" s="421" t="s">
        <v>124</v>
      </c>
      <c r="H96" s="323"/>
      <c r="I96" s="323"/>
      <c r="J96" s="323"/>
      <c r="K96" s="323"/>
      <c r="L96" s="323"/>
      <c r="M96" s="323"/>
      <c r="N96" s="323"/>
      <c r="O96" s="323"/>
      <c r="P96" s="323"/>
      <c r="Q96" s="323"/>
      <c r="R96" s="323"/>
      <c r="S96" s="323"/>
      <c r="T96" s="323"/>
      <c r="U96" s="323"/>
      <c r="V96" s="323"/>
      <c r="W96" s="323"/>
      <c r="X96" s="323"/>
      <c r="Y96" s="323"/>
      <c r="Z96" s="323"/>
      <c r="AA96" s="323"/>
      <c r="AB96" s="323"/>
      <c r="AC96" s="324"/>
      <c r="AD96" s="74">
        <v>400000000</v>
      </c>
      <c r="AE96" s="63">
        <f t="shared" si="8"/>
        <v>3.0314525134615913</v>
      </c>
      <c r="AF96" s="186"/>
      <c r="AG96" s="190"/>
      <c r="AH96" s="190">
        <f t="shared" si="9"/>
        <v>120000000</v>
      </c>
      <c r="AI96" s="188"/>
      <c r="AJ96" s="189">
        <f>0.6*AD96-(0.5*AH96)</f>
        <v>180000000</v>
      </c>
      <c r="AK96" s="188">
        <f>0.4*AD96-(0.5*AH96)</f>
        <v>100000000</v>
      </c>
      <c r="AL96" s="188"/>
      <c r="AM96" s="183"/>
      <c r="AN96" s="183"/>
      <c r="AO96" s="183"/>
      <c r="AP96" s="183"/>
      <c r="AQ96" s="273"/>
    </row>
    <row r="97" spans="1:45" x14ac:dyDescent="0.25">
      <c r="A97" s="402"/>
      <c r="B97" s="332"/>
      <c r="C97" s="332"/>
      <c r="D97" s="332"/>
      <c r="E97" s="400"/>
      <c r="F97" s="125">
        <f t="shared" si="10"/>
        <v>5</v>
      </c>
      <c r="G97" s="421" t="s">
        <v>125</v>
      </c>
      <c r="H97" s="323"/>
      <c r="I97" s="323"/>
      <c r="J97" s="323"/>
      <c r="K97" s="323"/>
      <c r="L97" s="323"/>
      <c r="M97" s="323"/>
      <c r="N97" s="323"/>
      <c r="O97" s="323"/>
      <c r="P97" s="323"/>
      <c r="Q97" s="323"/>
      <c r="R97" s="323"/>
      <c r="S97" s="323"/>
      <c r="T97" s="323"/>
      <c r="U97" s="323"/>
      <c r="V97" s="323"/>
      <c r="W97" s="323"/>
      <c r="X97" s="323"/>
      <c r="Y97" s="323"/>
      <c r="Z97" s="323"/>
      <c r="AA97" s="323"/>
      <c r="AB97" s="323"/>
      <c r="AC97" s="324"/>
      <c r="AD97" s="74">
        <v>450000000</v>
      </c>
      <c r="AE97" s="63">
        <f t="shared" si="8"/>
        <v>3.4103840776442897</v>
      </c>
      <c r="AF97" s="186"/>
      <c r="AG97" s="190"/>
      <c r="AH97" s="190">
        <f t="shared" si="9"/>
        <v>135000000</v>
      </c>
      <c r="AI97" s="188"/>
      <c r="AJ97" s="189">
        <f>0.6*AD97-(0.5*AH97)</f>
        <v>202500000</v>
      </c>
      <c r="AK97" s="188">
        <f>0.4*AD97-(0.5*AH97)</f>
        <v>112500000</v>
      </c>
      <c r="AL97" s="188"/>
      <c r="AM97" s="183"/>
      <c r="AN97" s="183"/>
      <c r="AO97" s="183"/>
      <c r="AP97" s="183"/>
      <c r="AQ97" s="273"/>
    </row>
    <row r="98" spans="1:45" x14ac:dyDescent="0.25">
      <c r="A98" s="402"/>
      <c r="B98" s="332"/>
      <c r="C98" s="332"/>
      <c r="D98" s="332"/>
      <c r="E98" s="400"/>
      <c r="F98" s="125">
        <f t="shared" si="10"/>
        <v>6</v>
      </c>
      <c r="G98" s="421" t="s">
        <v>237</v>
      </c>
      <c r="H98" s="323"/>
      <c r="I98" s="323"/>
      <c r="J98" s="323"/>
      <c r="K98" s="323"/>
      <c r="L98" s="323"/>
      <c r="M98" s="323"/>
      <c r="N98" s="323"/>
      <c r="O98" s="323"/>
      <c r="P98" s="323"/>
      <c r="Q98" s="323"/>
      <c r="R98" s="323"/>
      <c r="S98" s="323"/>
      <c r="T98" s="323"/>
      <c r="U98" s="323"/>
      <c r="V98" s="323"/>
      <c r="W98" s="323"/>
      <c r="X98" s="323"/>
      <c r="Y98" s="323"/>
      <c r="Z98" s="323"/>
      <c r="AA98" s="323"/>
      <c r="AB98" s="323"/>
      <c r="AC98" s="324"/>
      <c r="AD98" s="74">
        <v>900000000</v>
      </c>
      <c r="AE98" s="63">
        <f t="shared" si="8"/>
        <v>6.8207681552885795</v>
      </c>
      <c r="AF98" s="186"/>
      <c r="AG98" s="190"/>
      <c r="AH98" s="190">
        <f t="shared" si="9"/>
        <v>270000000</v>
      </c>
      <c r="AI98" s="188"/>
      <c r="AJ98" s="189">
        <f>0.6*AD98-(0.5*AH98)</f>
        <v>405000000</v>
      </c>
      <c r="AK98" s="188">
        <f>0.4*AD98-(0.5*AH98)</f>
        <v>225000000</v>
      </c>
      <c r="AL98" s="188"/>
      <c r="AM98" s="183"/>
      <c r="AN98" s="183"/>
      <c r="AO98" s="183"/>
      <c r="AP98" s="183"/>
      <c r="AQ98" s="273"/>
    </row>
    <row r="99" spans="1:45" x14ac:dyDescent="0.25">
      <c r="A99" s="402"/>
      <c r="B99" s="332"/>
      <c r="C99" s="332"/>
      <c r="D99" s="332"/>
      <c r="E99" s="400"/>
      <c r="F99" s="125">
        <f t="shared" si="10"/>
        <v>7</v>
      </c>
      <c r="G99" s="421" t="s">
        <v>126</v>
      </c>
      <c r="H99" s="323"/>
      <c r="I99" s="323"/>
      <c r="J99" s="323"/>
      <c r="K99" s="323"/>
      <c r="L99" s="323"/>
      <c r="M99" s="323"/>
      <c r="N99" s="323"/>
      <c r="O99" s="323"/>
      <c r="P99" s="323"/>
      <c r="Q99" s="323"/>
      <c r="R99" s="323"/>
      <c r="S99" s="323"/>
      <c r="T99" s="323"/>
      <c r="U99" s="323"/>
      <c r="V99" s="323"/>
      <c r="W99" s="323"/>
      <c r="X99" s="323"/>
      <c r="Y99" s="323"/>
      <c r="Z99" s="323"/>
      <c r="AA99" s="323"/>
      <c r="AB99" s="323"/>
      <c r="AC99" s="324"/>
      <c r="AD99" s="74">
        <v>148359000</v>
      </c>
      <c r="AE99" s="63">
        <f t="shared" si="8"/>
        <v>1.1243581586116205</v>
      </c>
      <c r="AF99" s="186"/>
      <c r="AG99" s="190"/>
      <c r="AH99" s="190">
        <f t="shared" si="9"/>
        <v>44507700</v>
      </c>
      <c r="AI99" s="188"/>
      <c r="AJ99" s="189">
        <f>0.7*AD99</f>
        <v>103851300</v>
      </c>
      <c r="AK99" s="188"/>
      <c r="AL99" s="188"/>
      <c r="AM99" s="183"/>
      <c r="AN99" s="183"/>
      <c r="AO99" s="183"/>
      <c r="AP99" s="183"/>
      <c r="AQ99" s="273"/>
    </row>
    <row r="100" spans="1:45" x14ac:dyDescent="0.25">
      <c r="A100" s="402"/>
      <c r="B100" s="332"/>
      <c r="C100" s="332"/>
      <c r="D100" s="332"/>
      <c r="E100" s="400"/>
      <c r="F100" s="125">
        <f t="shared" si="10"/>
        <v>8</v>
      </c>
      <c r="G100" s="421" t="s">
        <v>127</v>
      </c>
      <c r="H100" s="323"/>
      <c r="I100" s="323"/>
      <c r="J100" s="323"/>
      <c r="K100" s="323"/>
      <c r="L100" s="323"/>
      <c r="M100" s="323"/>
      <c r="N100" s="323"/>
      <c r="O100" s="323"/>
      <c r="P100" s="323"/>
      <c r="Q100" s="323"/>
      <c r="R100" s="323"/>
      <c r="S100" s="323"/>
      <c r="T100" s="323"/>
      <c r="U100" s="323"/>
      <c r="V100" s="323"/>
      <c r="W100" s="323"/>
      <c r="X100" s="323"/>
      <c r="Y100" s="323"/>
      <c r="Z100" s="323"/>
      <c r="AA100" s="323"/>
      <c r="AB100" s="323"/>
      <c r="AC100" s="324"/>
      <c r="AD100" s="74">
        <v>100000000</v>
      </c>
      <c r="AE100" s="63">
        <f t="shared" si="8"/>
        <v>0.75786312836539782</v>
      </c>
      <c r="AF100" s="186"/>
      <c r="AG100" s="190"/>
      <c r="AH100" s="190">
        <f t="shared" si="9"/>
        <v>30000000</v>
      </c>
      <c r="AI100" s="188"/>
      <c r="AJ100" s="189">
        <f>0.7*AD100</f>
        <v>70000000</v>
      </c>
      <c r="AK100" s="188"/>
      <c r="AL100" s="188"/>
      <c r="AM100" s="183"/>
      <c r="AN100" s="183"/>
      <c r="AO100" s="183"/>
      <c r="AP100" s="183"/>
      <c r="AQ100" s="273"/>
    </row>
    <row r="101" spans="1:45" x14ac:dyDescent="0.25">
      <c r="A101" s="405"/>
      <c r="B101" s="336"/>
      <c r="C101" s="336"/>
      <c r="D101" s="336"/>
      <c r="E101" s="406"/>
      <c r="F101" s="486">
        <f t="shared" si="10"/>
        <v>9</v>
      </c>
      <c r="G101" s="1023" t="s">
        <v>128</v>
      </c>
      <c r="H101" s="1023"/>
      <c r="I101" s="1023"/>
      <c r="J101" s="1023"/>
      <c r="K101" s="1023"/>
      <c r="L101" s="1023"/>
      <c r="M101" s="1023"/>
      <c r="N101" s="1023"/>
      <c r="O101" s="1023"/>
      <c r="P101" s="1023"/>
      <c r="Q101" s="1023"/>
      <c r="R101" s="1023"/>
      <c r="S101" s="1023"/>
      <c r="T101" s="1023"/>
      <c r="U101" s="1023"/>
      <c r="V101" s="1023"/>
      <c r="W101" s="1023"/>
      <c r="X101" s="1023"/>
      <c r="Y101" s="1023"/>
      <c r="Z101" s="1023"/>
      <c r="AA101" s="1023"/>
      <c r="AB101" s="1023"/>
      <c r="AC101" s="490"/>
      <c r="AD101" s="491">
        <v>350000000</v>
      </c>
      <c r="AE101" s="492">
        <f t="shared" si="8"/>
        <v>2.6525209492788924</v>
      </c>
      <c r="AF101" s="493"/>
      <c r="AG101" s="215"/>
      <c r="AH101" s="215"/>
      <c r="AI101" s="494">
        <f>0.3*AD101</f>
        <v>105000000</v>
      </c>
      <c r="AJ101" s="495"/>
      <c r="AK101" s="494">
        <f>0.6*AD101-(0.5*AI101)</f>
        <v>157500000</v>
      </c>
      <c r="AL101" s="494">
        <f>0.4*AD101-(0.5*AI101)</f>
        <v>87500000</v>
      </c>
      <c r="AM101" s="216"/>
      <c r="AN101" s="216"/>
      <c r="AO101" s="216"/>
      <c r="AP101" s="216"/>
      <c r="AQ101" s="496"/>
    </row>
    <row r="102" spans="1:45" ht="12.75" customHeight="1" x14ac:dyDescent="0.25">
      <c r="A102" s="487"/>
      <c r="B102" s="357"/>
      <c r="C102" s="357"/>
      <c r="D102" s="357"/>
      <c r="E102" s="488"/>
      <c r="F102" s="489"/>
      <c r="G102" s="1024"/>
      <c r="H102" s="1024"/>
      <c r="I102" s="1024"/>
      <c r="J102" s="1024"/>
      <c r="K102" s="1024"/>
      <c r="L102" s="1024"/>
      <c r="M102" s="1024"/>
      <c r="N102" s="1024"/>
      <c r="O102" s="1024"/>
      <c r="P102" s="1024"/>
      <c r="Q102" s="1024"/>
      <c r="R102" s="1024"/>
      <c r="S102" s="1024"/>
      <c r="T102" s="1024"/>
      <c r="U102" s="1024"/>
      <c r="V102" s="1024"/>
      <c r="W102" s="1024"/>
      <c r="X102" s="1024"/>
      <c r="Y102" s="1024"/>
      <c r="Z102" s="1024"/>
      <c r="AA102" s="1024"/>
      <c r="AB102" s="1024"/>
      <c r="AC102" s="497"/>
      <c r="AD102" s="498"/>
      <c r="AE102" s="230"/>
      <c r="AF102" s="231"/>
      <c r="AG102" s="233"/>
      <c r="AH102" s="233"/>
      <c r="AI102" s="499"/>
      <c r="AJ102" s="500"/>
      <c r="AK102" s="499"/>
      <c r="AL102" s="499"/>
      <c r="AM102" s="300"/>
      <c r="AN102" s="300"/>
      <c r="AO102" s="300"/>
      <c r="AP102" s="300"/>
      <c r="AQ102" s="501"/>
      <c r="AR102" s="72"/>
      <c r="AS102" s="72"/>
    </row>
    <row r="103" spans="1:45" x14ac:dyDescent="0.25">
      <c r="A103" s="402"/>
      <c r="B103" s="332"/>
      <c r="C103" s="332"/>
      <c r="D103" s="332"/>
      <c r="E103" s="400"/>
      <c r="F103" s="124"/>
      <c r="G103" s="419"/>
      <c r="H103" s="419"/>
      <c r="I103" s="419"/>
      <c r="J103" s="419"/>
      <c r="K103" s="419"/>
      <c r="L103" s="419"/>
      <c r="M103" s="419"/>
      <c r="N103" s="419"/>
      <c r="O103" s="419"/>
      <c r="P103" s="419"/>
      <c r="Q103" s="419"/>
      <c r="R103" s="419"/>
      <c r="S103" s="419"/>
      <c r="T103" s="419"/>
      <c r="U103" s="419"/>
      <c r="V103" s="419"/>
      <c r="W103" s="419"/>
      <c r="X103" s="419"/>
      <c r="Y103" s="419"/>
      <c r="Z103" s="419"/>
      <c r="AA103" s="419"/>
      <c r="AB103" s="419"/>
      <c r="AC103" s="324"/>
      <c r="AD103" s="74"/>
      <c r="AE103" s="127"/>
      <c r="AF103" s="186"/>
      <c r="AG103" s="190"/>
      <c r="AH103" s="190"/>
      <c r="AI103" s="188"/>
      <c r="AJ103" s="189"/>
      <c r="AK103" s="188"/>
      <c r="AL103" s="188"/>
      <c r="AM103" s="183"/>
      <c r="AN103" s="183"/>
      <c r="AO103" s="183"/>
      <c r="AP103" s="183"/>
      <c r="AQ103" s="273"/>
    </row>
    <row r="104" spans="1:45" x14ac:dyDescent="0.25">
      <c r="A104" s="402"/>
      <c r="B104" s="332"/>
      <c r="C104" s="332"/>
      <c r="D104" s="332"/>
      <c r="E104" s="403" t="s">
        <v>37</v>
      </c>
      <c r="F104" s="420" t="s">
        <v>244</v>
      </c>
      <c r="G104" s="419"/>
      <c r="H104" s="419"/>
      <c r="I104" s="419"/>
      <c r="J104" s="419"/>
      <c r="K104" s="419"/>
      <c r="L104" s="419"/>
      <c r="M104" s="419"/>
      <c r="N104" s="419"/>
      <c r="O104" s="419"/>
      <c r="P104" s="419"/>
      <c r="Q104" s="419"/>
      <c r="R104" s="419"/>
      <c r="S104" s="419"/>
      <c r="T104" s="419"/>
      <c r="U104" s="419"/>
      <c r="V104" s="419"/>
      <c r="W104" s="419"/>
      <c r="X104" s="419"/>
      <c r="Y104" s="419"/>
      <c r="Z104" s="419"/>
      <c r="AA104" s="419"/>
      <c r="AB104" s="419"/>
      <c r="AC104" s="324"/>
      <c r="AD104" s="34">
        <f>+AD105</f>
        <v>12000000</v>
      </c>
      <c r="AE104" s="63">
        <f>(AD104/AD$13)*100</f>
        <v>9.0943575403847732E-2</v>
      </c>
      <c r="AF104" s="186"/>
      <c r="AG104" s="190"/>
      <c r="AH104" s="190"/>
      <c r="AI104" s="188"/>
      <c r="AJ104" s="189"/>
      <c r="AK104" s="188"/>
      <c r="AL104" s="188"/>
      <c r="AM104" s="183"/>
      <c r="AN104" s="183"/>
      <c r="AO104" s="183"/>
      <c r="AP104" s="183"/>
      <c r="AQ104" s="273"/>
    </row>
    <row r="105" spans="1:45" x14ac:dyDescent="0.25">
      <c r="A105" s="402"/>
      <c r="B105" s="332"/>
      <c r="C105" s="332"/>
      <c r="D105" s="332"/>
      <c r="E105" s="400"/>
      <c r="F105" s="420" t="s">
        <v>245</v>
      </c>
      <c r="G105" s="419"/>
      <c r="H105" s="419"/>
      <c r="I105" s="419"/>
      <c r="J105" s="419"/>
      <c r="K105" s="419"/>
      <c r="L105" s="419"/>
      <c r="M105" s="419"/>
      <c r="N105" s="419"/>
      <c r="O105" s="419"/>
      <c r="P105" s="419"/>
      <c r="Q105" s="419"/>
      <c r="R105" s="419"/>
      <c r="S105" s="419"/>
      <c r="T105" s="419"/>
      <c r="U105" s="419"/>
      <c r="V105" s="419"/>
      <c r="W105" s="419"/>
      <c r="X105" s="419"/>
      <c r="Y105" s="419"/>
      <c r="Z105" s="419"/>
      <c r="AA105" s="419"/>
      <c r="AB105" s="419"/>
      <c r="AC105" s="324"/>
      <c r="AD105" s="74">
        <v>12000000</v>
      </c>
      <c r="AE105" s="63">
        <f>(AD105/AD$13)*100</f>
        <v>9.0943575403847732E-2</v>
      </c>
      <c r="AF105" s="188">
        <f>+AD105/12</f>
        <v>1000000</v>
      </c>
      <c r="AG105" s="190">
        <f t="shared" ref="AG105:AQ105" si="11">+AF105</f>
        <v>1000000</v>
      </c>
      <c r="AH105" s="190">
        <f t="shared" si="11"/>
        <v>1000000</v>
      </c>
      <c r="AI105" s="190">
        <f t="shared" si="11"/>
        <v>1000000</v>
      </c>
      <c r="AJ105" s="190">
        <f t="shared" si="11"/>
        <v>1000000</v>
      </c>
      <c r="AK105" s="190">
        <f t="shared" si="11"/>
        <v>1000000</v>
      </c>
      <c r="AL105" s="190">
        <f t="shared" si="11"/>
        <v>1000000</v>
      </c>
      <c r="AM105" s="190">
        <f t="shared" si="11"/>
        <v>1000000</v>
      </c>
      <c r="AN105" s="190">
        <f t="shared" si="11"/>
        <v>1000000</v>
      </c>
      <c r="AO105" s="190">
        <f t="shared" si="11"/>
        <v>1000000</v>
      </c>
      <c r="AP105" s="190">
        <f t="shared" si="11"/>
        <v>1000000</v>
      </c>
      <c r="AQ105" s="274">
        <f t="shared" si="11"/>
        <v>1000000</v>
      </c>
    </row>
    <row r="106" spans="1:45" x14ac:dyDescent="0.25">
      <c r="A106" s="402"/>
      <c r="B106" s="332"/>
      <c r="C106" s="332"/>
      <c r="D106" s="332"/>
      <c r="E106" s="403" t="s">
        <v>37</v>
      </c>
      <c r="F106" s="420" t="s">
        <v>129</v>
      </c>
      <c r="G106" s="419"/>
      <c r="H106" s="419"/>
      <c r="I106" s="419"/>
      <c r="J106" s="419"/>
      <c r="K106" s="419"/>
      <c r="L106" s="419"/>
      <c r="M106" s="419"/>
      <c r="N106" s="419"/>
      <c r="O106" s="419"/>
      <c r="P106" s="419"/>
      <c r="Q106" s="419"/>
      <c r="R106" s="419"/>
      <c r="S106" s="419"/>
      <c r="T106" s="419"/>
      <c r="U106" s="419"/>
      <c r="V106" s="419"/>
      <c r="W106" s="419"/>
      <c r="X106" s="419"/>
      <c r="Y106" s="419"/>
      <c r="Z106" s="419"/>
      <c r="AA106" s="419"/>
      <c r="AB106" s="419"/>
      <c r="AC106" s="324"/>
      <c r="AD106" s="74">
        <f>SUM(AD107:AD108)</f>
        <v>4125000</v>
      </c>
      <c r="AE106" s="127"/>
      <c r="AF106" s="186"/>
      <c r="AG106" s="190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273"/>
    </row>
    <row r="107" spans="1:45" x14ac:dyDescent="0.25">
      <c r="A107" s="402"/>
      <c r="B107" s="332"/>
      <c r="C107" s="332"/>
      <c r="D107" s="332"/>
      <c r="E107" s="400"/>
      <c r="F107" s="420" t="s">
        <v>206</v>
      </c>
      <c r="G107" s="419"/>
      <c r="H107" s="419"/>
      <c r="I107" s="419"/>
      <c r="J107" s="419"/>
      <c r="K107" s="419"/>
      <c r="L107" s="419"/>
      <c r="M107" s="419"/>
      <c r="N107" s="419"/>
      <c r="O107" s="419"/>
      <c r="P107" s="419"/>
      <c r="Q107" s="419"/>
      <c r="R107" s="419"/>
      <c r="S107" s="419"/>
      <c r="T107" s="419"/>
      <c r="U107" s="419"/>
      <c r="V107" s="419"/>
      <c r="W107" s="419"/>
      <c r="X107" s="419"/>
      <c r="Y107" s="419"/>
      <c r="Z107" s="419"/>
      <c r="AA107" s="419"/>
      <c r="AB107" s="419"/>
      <c r="AC107" s="324"/>
      <c r="AD107" s="74">
        <v>1125000</v>
      </c>
      <c r="AE107" s="63">
        <f>(AD107/AD$13)*100</f>
        <v>8.5259601941107249E-3</v>
      </c>
      <c r="AF107" s="186"/>
      <c r="AG107" s="190"/>
      <c r="AH107" s="190">
        <f>+AD107/5</f>
        <v>225000</v>
      </c>
      <c r="AI107" s="188">
        <f t="shared" ref="AI107:AL108" si="12">+AH107</f>
        <v>225000</v>
      </c>
      <c r="AJ107" s="188">
        <f t="shared" si="12"/>
        <v>225000</v>
      </c>
      <c r="AK107" s="188">
        <f t="shared" si="12"/>
        <v>225000</v>
      </c>
      <c r="AL107" s="188">
        <f t="shared" si="12"/>
        <v>225000</v>
      </c>
      <c r="AM107" s="183"/>
      <c r="AN107" s="183"/>
      <c r="AO107" s="183"/>
      <c r="AP107" s="183"/>
      <c r="AQ107" s="273"/>
    </row>
    <row r="108" spans="1:45" x14ac:dyDescent="0.25">
      <c r="A108" s="402"/>
      <c r="B108" s="332"/>
      <c r="C108" s="332"/>
      <c r="D108" s="332"/>
      <c r="E108" s="400"/>
      <c r="F108" s="420" t="s">
        <v>205</v>
      </c>
      <c r="G108" s="419"/>
      <c r="H108" s="419"/>
      <c r="I108" s="419"/>
      <c r="J108" s="419"/>
      <c r="K108" s="419"/>
      <c r="L108" s="419"/>
      <c r="M108" s="419"/>
      <c r="N108" s="419"/>
      <c r="O108" s="419"/>
      <c r="P108" s="419"/>
      <c r="Q108" s="419"/>
      <c r="R108" s="419"/>
      <c r="S108" s="419"/>
      <c r="T108" s="419"/>
      <c r="U108" s="419"/>
      <c r="V108" s="419"/>
      <c r="W108" s="419"/>
      <c r="X108" s="419"/>
      <c r="Y108" s="419"/>
      <c r="Z108" s="419"/>
      <c r="AA108" s="419"/>
      <c r="AB108" s="419"/>
      <c r="AC108" s="324"/>
      <c r="AD108" s="74">
        <v>3000000</v>
      </c>
      <c r="AE108" s="63">
        <f>(AD108/AD$13)*100</f>
        <v>2.2735893850961933E-2</v>
      </c>
      <c r="AF108" s="186"/>
      <c r="AG108" s="190"/>
      <c r="AH108" s="190">
        <f>+AD108/5</f>
        <v>600000</v>
      </c>
      <c r="AI108" s="188">
        <f t="shared" si="12"/>
        <v>600000</v>
      </c>
      <c r="AJ108" s="188">
        <f t="shared" si="12"/>
        <v>600000</v>
      </c>
      <c r="AK108" s="188">
        <f t="shared" si="12"/>
        <v>600000</v>
      </c>
      <c r="AL108" s="188">
        <f t="shared" si="12"/>
        <v>600000</v>
      </c>
      <c r="AM108" s="183"/>
      <c r="AN108" s="183"/>
      <c r="AO108" s="183"/>
      <c r="AP108" s="183"/>
      <c r="AQ108" s="273"/>
    </row>
    <row r="109" spans="1:45" x14ac:dyDescent="0.25">
      <c r="A109" s="402"/>
      <c r="B109" s="332"/>
      <c r="C109" s="332"/>
      <c r="D109" s="332"/>
      <c r="E109" s="400"/>
      <c r="F109" s="124"/>
      <c r="G109" s="419"/>
      <c r="H109" s="419"/>
      <c r="I109" s="419"/>
      <c r="J109" s="419"/>
      <c r="K109" s="419"/>
      <c r="L109" s="419"/>
      <c r="M109" s="419"/>
      <c r="N109" s="419"/>
      <c r="O109" s="419"/>
      <c r="P109" s="419"/>
      <c r="Q109" s="419"/>
      <c r="R109" s="419"/>
      <c r="S109" s="419"/>
      <c r="T109" s="419"/>
      <c r="U109" s="419"/>
      <c r="V109" s="419"/>
      <c r="W109" s="419"/>
      <c r="X109" s="419"/>
      <c r="Y109" s="419"/>
      <c r="Z109" s="419"/>
      <c r="AA109" s="419"/>
      <c r="AB109" s="419"/>
      <c r="AC109" s="324"/>
      <c r="AD109" s="74"/>
      <c r="AE109" s="127"/>
      <c r="AF109" s="186"/>
      <c r="AG109" s="190"/>
      <c r="AH109" s="190"/>
      <c r="AI109" s="188"/>
      <c r="AJ109" s="189"/>
      <c r="AK109" s="188"/>
      <c r="AL109" s="188"/>
      <c r="AM109" s="183"/>
      <c r="AN109" s="183"/>
      <c r="AO109" s="183"/>
      <c r="AP109" s="183"/>
      <c r="AQ109" s="273"/>
    </row>
    <row r="110" spans="1:45" x14ac:dyDescent="0.25">
      <c r="A110" s="402"/>
      <c r="B110" s="332"/>
      <c r="C110" s="332"/>
      <c r="D110" s="332"/>
      <c r="E110" s="403" t="s">
        <v>37</v>
      </c>
      <c r="F110" s="420" t="s">
        <v>238</v>
      </c>
      <c r="G110" s="323"/>
      <c r="H110" s="323"/>
      <c r="I110" s="323"/>
      <c r="J110" s="323"/>
      <c r="K110" s="323"/>
      <c r="L110" s="323"/>
      <c r="M110" s="323"/>
      <c r="N110" s="323"/>
      <c r="O110" s="323"/>
      <c r="P110" s="323"/>
      <c r="Q110" s="323"/>
      <c r="R110" s="323"/>
      <c r="S110" s="323"/>
      <c r="T110" s="323"/>
      <c r="U110" s="323"/>
      <c r="V110" s="323"/>
      <c r="W110" s="323"/>
      <c r="X110" s="323"/>
      <c r="Y110" s="323"/>
      <c r="Z110" s="323"/>
      <c r="AA110" s="323"/>
      <c r="AB110" s="323"/>
      <c r="AC110" s="324"/>
      <c r="AD110" s="74">
        <v>4050000</v>
      </c>
      <c r="AE110" s="63">
        <f>(AD110/AD$13)*100</f>
        <v>3.069345669879861E-2</v>
      </c>
      <c r="AF110" s="186"/>
      <c r="AG110" s="190"/>
      <c r="AH110" s="190"/>
      <c r="AI110" s="188"/>
      <c r="AJ110" s="189"/>
      <c r="AK110" s="188"/>
      <c r="AL110" s="188">
        <f>+AD110</f>
        <v>4050000</v>
      </c>
      <c r="AM110" s="183"/>
      <c r="AN110" s="183"/>
      <c r="AO110" s="183"/>
      <c r="AP110" s="183"/>
      <c r="AQ110" s="273"/>
    </row>
    <row r="111" spans="1:45" x14ac:dyDescent="0.25">
      <c r="A111" s="402"/>
      <c r="B111" s="332"/>
      <c r="C111" s="332"/>
      <c r="D111" s="332"/>
      <c r="E111" s="400"/>
      <c r="F111" s="420"/>
      <c r="G111" s="323"/>
      <c r="H111" s="323"/>
      <c r="I111" s="323"/>
      <c r="J111" s="323"/>
      <c r="K111" s="323"/>
      <c r="L111" s="323"/>
      <c r="M111" s="323"/>
      <c r="N111" s="323"/>
      <c r="O111" s="323"/>
      <c r="P111" s="323"/>
      <c r="Q111" s="323"/>
      <c r="R111" s="323"/>
      <c r="S111" s="323"/>
      <c r="T111" s="323"/>
      <c r="U111" s="323"/>
      <c r="V111" s="323"/>
      <c r="W111" s="323"/>
      <c r="X111" s="323"/>
      <c r="Y111" s="323"/>
      <c r="Z111" s="323"/>
      <c r="AA111" s="323"/>
      <c r="AB111" s="323"/>
      <c r="AC111" s="324"/>
      <c r="AD111" s="74"/>
      <c r="AE111" s="127"/>
      <c r="AF111" s="186"/>
      <c r="AG111" s="190"/>
      <c r="AH111" s="190"/>
      <c r="AI111" s="188"/>
      <c r="AJ111" s="189"/>
      <c r="AK111" s="188"/>
      <c r="AL111" s="188"/>
      <c r="AM111" s="183"/>
      <c r="AN111" s="183"/>
      <c r="AO111" s="183"/>
      <c r="AP111" s="183"/>
      <c r="AQ111" s="273"/>
    </row>
    <row r="112" spans="1:45" x14ac:dyDescent="0.25">
      <c r="A112" s="402"/>
      <c r="B112" s="332"/>
      <c r="C112" s="332"/>
      <c r="D112" s="332"/>
      <c r="E112" s="400"/>
      <c r="F112" s="420" t="s">
        <v>239</v>
      </c>
      <c r="G112" s="323"/>
      <c r="H112" s="323"/>
      <c r="I112" s="323"/>
      <c r="J112" s="323"/>
      <c r="K112" s="323"/>
      <c r="L112" s="323"/>
      <c r="M112" s="323"/>
      <c r="N112" s="323"/>
      <c r="O112" s="323"/>
      <c r="P112" s="323"/>
      <c r="Q112" s="323"/>
      <c r="R112" s="323"/>
      <c r="S112" s="323"/>
      <c r="T112" s="323"/>
      <c r="U112" s="323"/>
      <c r="V112" s="323"/>
      <c r="W112" s="323"/>
      <c r="X112" s="323"/>
      <c r="Y112" s="323"/>
      <c r="Z112" s="323"/>
      <c r="AA112" s="323"/>
      <c r="AB112" s="323"/>
      <c r="AC112" s="324"/>
      <c r="AD112" s="34">
        <f>SUM(AD113:AD116)</f>
        <v>6320000</v>
      </c>
      <c r="AE112" s="127"/>
      <c r="AF112" s="186"/>
      <c r="AG112" s="190"/>
      <c r="AH112" s="190"/>
      <c r="AI112" s="188"/>
      <c r="AJ112" s="189"/>
      <c r="AK112" s="188"/>
      <c r="AL112" s="188"/>
      <c r="AM112" s="183"/>
      <c r="AN112" s="183"/>
      <c r="AO112" s="183"/>
      <c r="AP112" s="183"/>
      <c r="AQ112" s="273"/>
    </row>
    <row r="113" spans="1:43" x14ac:dyDescent="0.25">
      <c r="A113" s="402"/>
      <c r="B113" s="332"/>
      <c r="C113" s="332"/>
      <c r="D113" s="332"/>
      <c r="E113" s="403" t="s">
        <v>37</v>
      </c>
      <c r="F113" s="420" t="s">
        <v>240</v>
      </c>
      <c r="G113" s="419"/>
      <c r="H113" s="419"/>
      <c r="I113" s="419"/>
      <c r="J113" s="419"/>
      <c r="K113" s="419"/>
      <c r="L113" s="419"/>
      <c r="M113" s="419"/>
      <c r="N113" s="419"/>
      <c r="O113" s="419"/>
      <c r="P113" s="419"/>
      <c r="Q113" s="419"/>
      <c r="R113" s="419"/>
      <c r="S113" s="419"/>
      <c r="T113" s="419"/>
      <c r="U113" s="419"/>
      <c r="V113" s="419"/>
      <c r="W113" s="419"/>
      <c r="X113" s="419"/>
      <c r="Y113" s="419"/>
      <c r="Z113" s="419"/>
      <c r="AA113" s="419"/>
      <c r="AB113" s="419"/>
      <c r="AC113" s="324"/>
      <c r="AD113" s="74">
        <v>1750000</v>
      </c>
      <c r="AE113" s="63">
        <f>(AD113/AD$13)*100</f>
        <v>1.3262604746394461E-2</v>
      </c>
      <c r="AF113" s="186"/>
      <c r="AG113" s="190"/>
      <c r="AH113" s="188">
        <f>+AD113</f>
        <v>1750000</v>
      </c>
      <c r="AI113" s="72"/>
      <c r="AJ113" s="189"/>
      <c r="AK113" s="188"/>
      <c r="AL113" s="188"/>
      <c r="AM113" s="183"/>
      <c r="AN113" s="183"/>
      <c r="AO113" s="183"/>
      <c r="AP113" s="183"/>
      <c r="AQ113" s="273"/>
    </row>
    <row r="114" spans="1:43" x14ac:dyDescent="0.25">
      <c r="A114" s="402"/>
      <c r="B114" s="332"/>
      <c r="C114" s="332"/>
      <c r="D114" s="333"/>
      <c r="E114" s="403" t="s">
        <v>37</v>
      </c>
      <c r="F114" s="420" t="s">
        <v>241</v>
      </c>
      <c r="G114" s="419"/>
      <c r="H114" s="419"/>
      <c r="I114" s="419"/>
      <c r="J114" s="419"/>
      <c r="K114" s="419"/>
      <c r="L114" s="419"/>
      <c r="M114" s="419"/>
      <c r="N114" s="419"/>
      <c r="O114" s="419"/>
      <c r="P114" s="419"/>
      <c r="Q114" s="419"/>
      <c r="R114" s="419"/>
      <c r="S114" s="419"/>
      <c r="T114" s="419"/>
      <c r="U114" s="419"/>
      <c r="V114" s="419"/>
      <c r="W114" s="419"/>
      <c r="X114" s="419"/>
      <c r="Y114" s="419"/>
      <c r="Z114" s="419"/>
      <c r="AA114" s="419"/>
      <c r="AB114" s="419"/>
      <c r="AC114" s="324"/>
      <c r="AD114" s="74">
        <v>1200000</v>
      </c>
      <c r="AE114" s="63">
        <f>(AD114/AD$13)*100</f>
        <v>9.0943575403847742E-3</v>
      </c>
      <c r="AF114" s="186"/>
      <c r="AG114" s="190"/>
      <c r="AH114" s="188">
        <f>+AD114</f>
        <v>1200000</v>
      </c>
      <c r="AI114" s="72"/>
      <c r="AJ114" s="189"/>
      <c r="AK114" s="188"/>
      <c r="AL114" s="188"/>
      <c r="AM114" s="183"/>
      <c r="AN114" s="183"/>
      <c r="AO114" s="183"/>
      <c r="AP114" s="183"/>
      <c r="AQ114" s="273"/>
    </row>
    <row r="115" spans="1:43" x14ac:dyDescent="0.25">
      <c r="A115" s="402"/>
      <c r="B115" s="332"/>
      <c r="C115" s="332"/>
      <c r="D115" s="333"/>
      <c r="E115" s="403" t="s">
        <v>37</v>
      </c>
      <c r="F115" s="420" t="s">
        <v>242</v>
      </c>
      <c r="G115" s="419"/>
      <c r="H115" s="419"/>
      <c r="I115" s="419"/>
      <c r="J115" s="419"/>
      <c r="K115" s="419"/>
      <c r="L115" s="419"/>
      <c r="M115" s="419"/>
      <c r="N115" s="419"/>
      <c r="O115" s="419"/>
      <c r="P115" s="419"/>
      <c r="Q115" s="419"/>
      <c r="R115" s="419"/>
      <c r="S115" s="419"/>
      <c r="T115" s="419"/>
      <c r="U115" s="419"/>
      <c r="V115" s="419"/>
      <c r="W115" s="419"/>
      <c r="X115" s="419"/>
      <c r="Y115" s="419"/>
      <c r="Z115" s="419"/>
      <c r="AA115" s="419"/>
      <c r="AB115" s="419"/>
      <c r="AC115" s="324"/>
      <c r="AD115" s="74">
        <v>1750000</v>
      </c>
      <c r="AE115" s="63">
        <f>(AD115/AD$13)*100</f>
        <v>1.3262604746394461E-2</v>
      </c>
      <c r="AF115" s="186"/>
      <c r="AG115" s="190"/>
      <c r="AH115" s="190"/>
      <c r="AI115" s="188"/>
      <c r="AJ115" s="189">
        <f>+AD115</f>
        <v>1750000</v>
      </c>
      <c r="AK115" s="188"/>
      <c r="AL115" s="188"/>
      <c r="AM115" s="183"/>
      <c r="AN115" s="183"/>
      <c r="AO115" s="183"/>
      <c r="AP115" s="183"/>
      <c r="AQ115" s="273"/>
    </row>
    <row r="116" spans="1:43" x14ac:dyDescent="0.25">
      <c r="A116" s="402"/>
      <c r="B116" s="332"/>
      <c r="C116" s="332"/>
      <c r="D116" s="333"/>
      <c r="E116" s="403" t="s">
        <v>37</v>
      </c>
      <c r="F116" s="420" t="s">
        <v>243</v>
      </c>
      <c r="G116" s="419"/>
      <c r="H116" s="419"/>
      <c r="I116" s="419"/>
      <c r="J116" s="419"/>
      <c r="K116" s="419"/>
      <c r="L116" s="419"/>
      <c r="M116" s="419"/>
      <c r="N116" s="419"/>
      <c r="O116" s="419"/>
      <c r="P116" s="419"/>
      <c r="Q116" s="419"/>
      <c r="R116" s="419"/>
      <c r="S116" s="419"/>
      <c r="T116" s="419"/>
      <c r="U116" s="419"/>
      <c r="V116" s="419"/>
      <c r="W116" s="419"/>
      <c r="X116" s="419"/>
      <c r="Y116" s="419"/>
      <c r="Z116" s="419"/>
      <c r="AA116" s="419"/>
      <c r="AB116" s="419"/>
      <c r="AC116" s="324"/>
      <c r="AD116" s="74">
        <f>600000+540000+480000</f>
        <v>1620000</v>
      </c>
      <c r="AE116" s="63">
        <f>(AD116/AD$13)*100</f>
        <v>1.2277382679519444E-2</v>
      </c>
      <c r="AF116" s="186"/>
      <c r="AG116" s="190"/>
      <c r="AH116" s="190"/>
      <c r="AI116" s="188"/>
      <c r="AJ116" s="189"/>
      <c r="AK116" s="188"/>
      <c r="AL116" s="188">
        <f>+AD116</f>
        <v>1620000</v>
      </c>
      <c r="AM116" s="183"/>
      <c r="AN116" s="183"/>
      <c r="AO116" s="183"/>
      <c r="AP116" s="183"/>
      <c r="AQ116" s="273"/>
    </row>
    <row r="117" spans="1:43" x14ac:dyDescent="0.25">
      <c r="A117" s="402"/>
      <c r="B117" s="332"/>
      <c r="C117" s="332"/>
      <c r="D117" s="333"/>
      <c r="E117" s="403"/>
      <c r="F117" s="420"/>
      <c r="G117" s="419"/>
      <c r="H117" s="419"/>
      <c r="I117" s="419"/>
      <c r="J117" s="419"/>
      <c r="K117" s="419"/>
      <c r="L117" s="419"/>
      <c r="M117" s="419"/>
      <c r="N117" s="419"/>
      <c r="O117" s="419"/>
      <c r="P117" s="419"/>
      <c r="Q117" s="419"/>
      <c r="R117" s="419"/>
      <c r="S117" s="419"/>
      <c r="T117" s="419"/>
      <c r="U117" s="419"/>
      <c r="V117" s="419"/>
      <c r="W117" s="419"/>
      <c r="X117" s="419"/>
      <c r="Y117" s="419"/>
      <c r="Z117" s="419"/>
      <c r="AA117" s="419"/>
      <c r="AB117" s="419"/>
      <c r="AC117" s="324"/>
      <c r="AD117" s="74"/>
      <c r="AE117" s="127"/>
      <c r="AF117" s="186"/>
      <c r="AG117" s="190"/>
      <c r="AH117" s="190"/>
      <c r="AI117" s="188"/>
      <c r="AJ117" s="189"/>
      <c r="AK117" s="188"/>
      <c r="AL117" s="188"/>
      <c r="AM117" s="183"/>
      <c r="AN117" s="183"/>
      <c r="AO117" s="183"/>
      <c r="AP117" s="183"/>
      <c r="AQ117" s="273"/>
    </row>
    <row r="118" spans="1:43" x14ac:dyDescent="0.25">
      <c r="A118" s="402"/>
      <c r="B118" s="332"/>
      <c r="C118" s="332"/>
      <c r="D118" s="333"/>
      <c r="E118" s="403" t="s">
        <v>37</v>
      </c>
      <c r="F118" s="73" t="s">
        <v>38</v>
      </c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86"/>
      <c r="AD118" s="34">
        <v>5482000</v>
      </c>
      <c r="AE118" s="63">
        <f>(AD118/AD$13)*100</f>
        <v>4.1546056696991109E-2</v>
      </c>
      <c r="AF118" s="188"/>
      <c r="AG118" s="190">
        <v>2500000</v>
      </c>
      <c r="AH118" s="190"/>
      <c r="AI118" s="188"/>
      <c r="AJ118" s="189">
        <v>2000000</v>
      </c>
      <c r="AK118" s="188"/>
      <c r="AL118" s="188"/>
      <c r="AM118" s="183">
        <f>+AD118-AG118-AJ118</f>
        <v>982000</v>
      </c>
      <c r="AN118" s="183"/>
      <c r="AO118" s="183"/>
      <c r="AP118" s="183"/>
      <c r="AQ118" s="273"/>
    </row>
    <row r="119" spans="1:43" x14ac:dyDescent="0.25">
      <c r="A119" s="402"/>
      <c r="B119" s="332"/>
      <c r="C119" s="332"/>
      <c r="D119" s="333"/>
      <c r="E119" s="403"/>
      <c r="F119" s="420"/>
      <c r="G119" s="421"/>
      <c r="H119" s="421"/>
      <c r="I119" s="421"/>
      <c r="J119" s="421"/>
      <c r="K119" s="421"/>
      <c r="L119" s="421"/>
      <c r="M119" s="421"/>
      <c r="N119" s="421"/>
      <c r="O119" s="421"/>
      <c r="P119" s="421"/>
      <c r="Q119" s="421"/>
      <c r="R119" s="421"/>
      <c r="S119" s="421"/>
      <c r="T119" s="421"/>
      <c r="U119" s="421"/>
      <c r="V119" s="421"/>
      <c r="W119" s="421"/>
      <c r="X119" s="421"/>
      <c r="Y119" s="421"/>
      <c r="Z119" s="421"/>
      <c r="AA119" s="421"/>
      <c r="AB119" s="421"/>
      <c r="AC119" s="422"/>
      <c r="AD119" s="74"/>
      <c r="AE119" s="127"/>
      <c r="AF119" s="188"/>
      <c r="AG119" s="189"/>
      <c r="AH119" s="188"/>
      <c r="AI119" s="188"/>
      <c r="AJ119" s="189"/>
      <c r="AK119" s="188"/>
      <c r="AL119" s="188"/>
      <c r="AM119" s="183"/>
      <c r="AN119" s="194"/>
      <c r="AO119" s="195"/>
      <c r="AP119" s="195"/>
      <c r="AQ119" s="276"/>
    </row>
    <row r="120" spans="1:43" x14ac:dyDescent="0.25">
      <c r="A120" s="402"/>
      <c r="B120" s="332"/>
      <c r="C120" s="332"/>
      <c r="D120" s="332"/>
      <c r="E120" s="403" t="s">
        <v>37</v>
      </c>
      <c r="F120" s="73" t="s">
        <v>130</v>
      </c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86"/>
      <c r="AD120" s="34">
        <v>1000000</v>
      </c>
      <c r="AE120" s="63">
        <f>(AD120/AD$13)*100</f>
        <v>7.5786312836539776E-3</v>
      </c>
      <c r="AF120" s="196"/>
      <c r="AG120" s="190"/>
      <c r="AH120" s="190"/>
      <c r="AI120" s="188">
        <f>+AD120/2</f>
        <v>500000</v>
      </c>
      <c r="AJ120" s="189"/>
      <c r="AK120" s="188"/>
      <c r="AL120" s="188">
        <f>+AI120</f>
        <v>500000</v>
      </c>
      <c r="AM120" s="183"/>
      <c r="AN120" s="183"/>
      <c r="AO120" s="183"/>
      <c r="AP120" s="183"/>
      <c r="AQ120" s="273"/>
    </row>
    <row r="121" spans="1:43" x14ac:dyDescent="0.25">
      <c r="A121" s="402"/>
      <c r="B121" s="332"/>
      <c r="C121" s="332"/>
      <c r="D121" s="332"/>
      <c r="E121" s="400"/>
      <c r="F121" s="420"/>
      <c r="G121" s="421"/>
      <c r="H121" s="421"/>
      <c r="I121" s="421"/>
      <c r="J121" s="421"/>
      <c r="K121" s="421"/>
      <c r="L121" s="421"/>
      <c r="M121" s="421"/>
      <c r="N121" s="421"/>
      <c r="O121" s="421"/>
      <c r="P121" s="421"/>
      <c r="Q121" s="421"/>
      <c r="R121" s="421"/>
      <c r="S121" s="421"/>
      <c r="T121" s="421"/>
      <c r="U121" s="421"/>
      <c r="V121" s="421"/>
      <c r="W121" s="421"/>
      <c r="X121" s="421"/>
      <c r="Y121" s="421"/>
      <c r="Z121" s="421"/>
      <c r="AA121" s="421"/>
      <c r="AB121" s="421"/>
      <c r="AC121" s="422"/>
      <c r="AD121" s="74"/>
      <c r="AE121" s="127"/>
      <c r="AF121" s="188"/>
      <c r="AG121" s="189"/>
      <c r="AH121" s="188"/>
      <c r="AI121" s="188"/>
      <c r="AJ121" s="189"/>
      <c r="AK121" s="188"/>
      <c r="AL121" s="188"/>
      <c r="AM121" s="183"/>
      <c r="AN121" s="194"/>
      <c r="AO121" s="195"/>
      <c r="AP121" s="195"/>
      <c r="AQ121" s="276"/>
    </row>
    <row r="122" spans="1:43" x14ac:dyDescent="0.25">
      <c r="A122" s="402"/>
      <c r="B122" s="332"/>
      <c r="C122" s="332"/>
      <c r="D122" s="333"/>
      <c r="E122" s="403" t="s">
        <v>37</v>
      </c>
      <c r="F122" s="73" t="s">
        <v>88</v>
      </c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86"/>
      <c r="AD122" s="34">
        <v>2500000</v>
      </c>
      <c r="AE122" s="63">
        <f>(AD122/AD$13)*100</f>
        <v>1.8946578209134944E-2</v>
      </c>
      <c r="AF122" s="196"/>
      <c r="AG122" s="189"/>
      <c r="AH122" s="190">
        <f>+AD122/2</f>
        <v>1250000</v>
      </c>
      <c r="AI122" s="188"/>
      <c r="AJ122" s="189"/>
      <c r="AK122" s="188"/>
      <c r="AL122" s="188">
        <f>+AH122</f>
        <v>1250000</v>
      </c>
      <c r="AM122" s="183"/>
      <c r="AN122" s="183"/>
      <c r="AO122" s="183"/>
      <c r="AP122" s="183"/>
      <c r="AQ122" s="273"/>
    </row>
    <row r="123" spans="1:43" x14ac:dyDescent="0.25">
      <c r="A123" s="402"/>
      <c r="B123" s="332"/>
      <c r="C123" s="332"/>
      <c r="D123" s="333"/>
      <c r="E123" s="403"/>
      <c r="F123" s="73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19"/>
      <c r="AC123" s="31"/>
      <c r="AD123" s="74"/>
      <c r="AE123" s="129"/>
      <c r="AF123" s="186"/>
      <c r="AG123" s="189"/>
      <c r="AH123" s="188"/>
      <c r="AI123" s="188"/>
      <c r="AJ123" s="189"/>
      <c r="AK123" s="188"/>
      <c r="AL123" s="188"/>
      <c r="AM123" s="183"/>
      <c r="AN123" s="194"/>
      <c r="AO123" s="195"/>
      <c r="AP123" s="195"/>
      <c r="AQ123" s="276"/>
    </row>
    <row r="124" spans="1:43" x14ac:dyDescent="0.25">
      <c r="A124" s="402"/>
      <c r="B124" s="332"/>
      <c r="C124" s="332"/>
      <c r="D124" s="332"/>
      <c r="E124" s="403" t="s">
        <v>37</v>
      </c>
      <c r="F124" s="73" t="s">
        <v>133</v>
      </c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86"/>
      <c r="AD124" s="34">
        <f>+AD125+AD126</f>
        <v>136485000</v>
      </c>
      <c r="AE124" s="63">
        <f>(AD124/AD$13)*100</f>
        <v>1.0343694907495131</v>
      </c>
      <c r="AF124" s="186"/>
      <c r="AG124" s="189"/>
      <c r="AH124" s="190"/>
      <c r="AI124" s="188"/>
      <c r="AJ124" s="189"/>
      <c r="AK124" s="188"/>
      <c r="AL124" s="188"/>
      <c r="AM124" s="183"/>
      <c r="AN124" s="183"/>
      <c r="AO124" s="183"/>
      <c r="AP124" s="183"/>
      <c r="AQ124" s="273"/>
    </row>
    <row r="125" spans="1:43" x14ac:dyDescent="0.25">
      <c r="A125" s="402"/>
      <c r="B125" s="332"/>
      <c r="C125" s="332"/>
      <c r="D125" s="332"/>
      <c r="E125" s="403"/>
      <c r="F125" s="73" t="s">
        <v>132</v>
      </c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86"/>
      <c r="AD125" s="74">
        <v>110085000</v>
      </c>
      <c r="AE125" s="63">
        <f>(AD125/AD$13)*100</f>
        <v>0.83429362486104819</v>
      </c>
      <c r="AF125" s="196">
        <v>3000000</v>
      </c>
      <c r="AG125" s="189">
        <v>10750000</v>
      </c>
      <c r="AH125" s="190">
        <f>+AG125</f>
        <v>10750000</v>
      </c>
      <c r="AI125" s="190">
        <f t="shared" ref="AI125:AO125" si="13">+AH125</f>
        <v>10750000</v>
      </c>
      <c r="AJ125" s="190">
        <f t="shared" si="13"/>
        <v>10750000</v>
      </c>
      <c r="AK125" s="190">
        <f t="shared" si="13"/>
        <v>10750000</v>
      </c>
      <c r="AL125" s="190">
        <f t="shared" si="13"/>
        <v>10750000</v>
      </c>
      <c r="AM125" s="190">
        <f t="shared" si="13"/>
        <v>10750000</v>
      </c>
      <c r="AN125" s="190">
        <f t="shared" si="13"/>
        <v>10750000</v>
      </c>
      <c r="AO125" s="190">
        <f t="shared" si="13"/>
        <v>10750000</v>
      </c>
      <c r="AP125" s="190">
        <f>+AD125-AF125-AG125-AH125-AI125-AJ125-AK125-AL125-AM125-AN125-AO125</f>
        <v>10335000</v>
      </c>
      <c r="AQ125" s="273"/>
    </row>
    <row r="126" spans="1:43" x14ac:dyDescent="0.25">
      <c r="A126" s="402"/>
      <c r="B126" s="332"/>
      <c r="C126" s="332"/>
      <c r="D126" s="332"/>
      <c r="E126" s="403"/>
      <c r="F126" s="73" t="s">
        <v>131</v>
      </c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86"/>
      <c r="AD126" s="74">
        <v>26400000</v>
      </c>
      <c r="AE126" s="63">
        <f>(AD126/AD$13)*100</f>
        <v>0.20007586588846499</v>
      </c>
      <c r="AF126" s="196"/>
      <c r="AG126" s="189">
        <f>+AD126/3</f>
        <v>8800000</v>
      </c>
      <c r="AH126" s="190"/>
      <c r="AI126" s="188"/>
      <c r="AJ126" s="189"/>
      <c r="AK126" s="188">
        <f>+AG126</f>
        <v>8800000</v>
      </c>
      <c r="AL126" s="188"/>
      <c r="AM126" s="183"/>
      <c r="AN126" s="183"/>
      <c r="AO126" s="183">
        <f>+AK126</f>
        <v>8800000</v>
      </c>
      <c r="AP126" s="183"/>
      <c r="AQ126" s="273"/>
    </row>
    <row r="127" spans="1:43" x14ac:dyDescent="0.25">
      <c r="A127" s="402"/>
      <c r="B127" s="332"/>
      <c r="C127" s="332"/>
      <c r="D127" s="332"/>
      <c r="E127" s="403"/>
      <c r="F127" s="420"/>
      <c r="G127" s="421"/>
      <c r="H127" s="421"/>
      <c r="I127" s="421"/>
      <c r="J127" s="421"/>
      <c r="K127" s="421"/>
      <c r="L127" s="421"/>
      <c r="M127" s="421"/>
      <c r="N127" s="421"/>
      <c r="O127" s="421"/>
      <c r="P127" s="421"/>
      <c r="Q127" s="421"/>
      <c r="R127" s="421"/>
      <c r="S127" s="421"/>
      <c r="T127" s="421"/>
      <c r="U127" s="421"/>
      <c r="V127" s="421"/>
      <c r="W127" s="421"/>
      <c r="X127" s="421"/>
      <c r="Y127" s="421"/>
      <c r="Z127" s="421"/>
      <c r="AA127" s="421"/>
      <c r="AB127" s="421"/>
      <c r="AC127" s="422"/>
      <c r="AD127" s="74"/>
      <c r="AE127" s="127"/>
      <c r="AF127" s="188"/>
      <c r="AG127" s="189"/>
      <c r="AH127" s="188"/>
      <c r="AI127" s="188"/>
      <c r="AJ127" s="189"/>
      <c r="AK127" s="188"/>
      <c r="AL127" s="188"/>
      <c r="AM127" s="183"/>
      <c r="AN127" s="194"/>
      <c r="AO127" s="195"/>
      <c r="AP127" s="195"/>
      <c r="AQ127" s="276"/>
    </row>
    <row r="128" spans="1:43" x14ac:dyDescent="0.25">
      <c r="A128" s="402"/>
      <c r="B128" s="332"/>
      <c r="C128" s="332"/>
      <c r="D128" s="332"/>
      <c r="E128" s="403" t="s">
        <v>37</v>
      </c>
      <c r="F128" s="1025" t="s">
        <v>134</v>
      </c>
      <c r="G128" s="1026"/>
      <c r="H128" s="1026"/>
      <c r="I128" s="1026"/>
      <c r="J128" s="1026"/>
      <c r="K128" s="1026"/>
      <c r="L128" s="1026"/>
      <c r="M128" s="1026"/>
      <c r="N128" s="1026"/>
      <c r="O128" s="1026"/>
      <c r="P128" s="1026"/>
      <c r="Q128" s="1026"/>
      <c r="R128" s="1026"/>
      <c r="S128" s="1026"/>
      <c r="T128" s="1026"/>
      <c r="U128" s="1026"/>
      <c r="V128" s="1026"/>
      <c r="W128" s="1026"/>
      <c r="X128" s="1026"/>
      <c r="Y128" s="1026"/>
      <c r="Z128" s="1026"/>
      <c r="AA128" s="1026"/>
      <c r="AB128" s="1026"/>
      <c r="AC128" s="1027"/>
      <c r="AD128" s="34">
        <f>SUM(AD129:AD132)</f>
        <v>200000000</v>
      </c>
      <c r="AE128" s="63">
        <f>(AD128/AD$13)*100</f>
        <v>1.5157262567307956</v>
      </c>
      <c r="AF128" s="186"/>
      <c r="AG128" s="190"/>
      <c r="AH128" s="188"/>
      <c r="AI128" s="188"/>
      <c r="AJ128" s="189"/>
      <c r="AK128" s="188"/>
      <c r="AL128" s="188"/>
      <c r="AM128" s="183"/>
      <c r="AN128" s="183"/>
      <c r="AO128" s="183"/>
      <c r="AP128" s="183"/>
      <c r="AQ128" s="273"/>
    </row>
    <row r="129" spans="1:43" x14ac:dyDescent="0.25">
      <c r="A129" s="402"/>
      <c r="B129" s="332"/>
      <c r="C129" s="332"/>
      <c r="D129" s="332"/>
      <c r="E129" s="400"/>
      <c r="F129" s="126">
        <v>1</v>
      </c>
      <c r="G129" s="75" t="s">
        <v>135</v>
      </c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19"/>
      <c r="AC129" s="31"/>
      <c r="AD129" s="74">
        <v>50000000</v>
      </c>
      <c r="AE129" s="63">
        <f>(AD129/AD$13)*100</f>
        <v>0.37893156418269891</v>
      </c>
      <c r="AF129" s="196"/>
      <c r="AG129" s="190"/>
      <c r="AH129" s="188">
        <f>0.3*AD129</f>
        <v>15000000</v>
      </c>
      <c r="AI129" s="189"/>
      <c r="AJ129" s="188"/>
      <c r="AK129" s="188">
        <f>0.7*AD129</f>
        <v>35000000</v>
      </c>
      <c r="AL129" s="305"/>
      <c r="AM129" s="183"/>
      <c r="AN129" s="183"/>
      <c r="AO129" s="183"/>
      <c r="AP129" s="183"/>
      <c r="AQ129" s="273"/>
    </row>
    <row r="130" spans="1:43" ht="13.8" x14ac:dyDescent="0.25">
      <c r="A130" s="402"/>
      <c r="B130" s="332"/>
      <c r="C130" s="332"/>
      <c r="D130" s="332"/>
      <c r="E130" s="400"/>
      <c r="F130" s="115">
        <f>+F129+1</f>
        <v>2</v>
      </c>
      <c r="G130" s="75" t="s">
        <v>136</v>
      </c>
      <c r="H130" s="56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19"/>
      <c r="AC130" s="31"/>
      <c r="AD130" s="74">
        <v>50000000</v>
      </c>
      <c r="AE130" s="63">
        <f>(AD130/AD$13)*100</f>
        <v>0.37893156418269891</v>
      </c>
      <c r="AF130" s="196"/>
      <c r="AG130" s="190"/>
      <c r="AH130" s="188">
        <f>0.3*AD130</f>
        <v>15000000</v>
      </c>
      <c r="AI130" s="189"/>
      <c r="AJ130" s="188"/>
      <c r="AK130" s="188">
        <f>0.7*AD130</f>
        <v>35000000</v>
      </c>
      <c r="AL130" s="305"/>
      <c r="AM130" s="183"/>
      <c r="AN130" s="183"/>
      <c r="AO130" s="183"/>
      <c r="AP130" s="183"/>
      <c r="AQ130" s="273"/>
    </row>
    <row r="131" spans="1:43" x14ac:dyDescent="0.25">
      <c r="A131" s="402"/>
      <c r="B131" s="332"/>
      <c r="C131" s="332"/>
      <c r="D131" s="332"/>
      <c r="E131" s="400"/>
      <c r="F131" s="115">
        <f>+F130+1</f>
        <v>3</v>
      </c>
      <c r="G131" s="75" t="s">
        <v>138</v>
      </c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7"/>
      <c r="AD131" s="74">
        <v>50000000</v>
      </c>
      <c r="AE131" s="63">
        <f>(AD131/AD$13)*100</f>
        <v>0.37893156418269891</v>
      </c>
      <c r="AF131" s="196"/>
      <c r="AG131" s="190"/>
      <c r="AH131" s="208"/>
      <c r="AI131" s="188">
        <f>0.3*AD131</f>
        <v>15000000</v>
      </c>
      <c r="AJ131" s="189"/>
      <c r="AK131" s="188"/>
      <c r="AL131" s="188">
        <f>0.7*AD131</f>
        <v>35000000</v>
      </c>
      <c r="AM131" s="183"/>
      <c r="AN131" s="183"/>
      <c r="AO131" s="183"/>
      <c r="AP131" s="183"/>
      <c r="AQ131" s="273"/>
    </row>
    <row r="132" spans="1:43" ht="13.8" thickBot="1" x14ac:dyDescent="0.3">
      <c r="A132" s="402"/>
      <c r="B132" s="332"/>
      <c r="C132" s="332"/>
      <c r="D132" s="332"/>
      <c r="E132" s="400"/>
      <c r="F132" s="115">
        <f>+F131+1</f>
        <v>4</v>
      </c>
      <c r="G132" s="75" t="s">
        <v>137</v>
      </c>
      <c r="H132" s="59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48"/>
      <c r="AC132" s="49"/>
      <c r="AD132" s="74">
        <v>50000000</v>
      </c>
      <c r="AE132" s="63">
        <f>(AD132/AD$13)*100</f>
        <v>0.37893156418269891</v>
      </c>
      <c r="AF132" s="196"/>
      <c r="AG132" s="190"/>
      <c r="AH132" s="188">
        <f>0.3*AD132</f>
        <v>15000000</v>
      </c>
      <c r="AI132" s="189"/>
      <c r="AJ132" s="188"/>
      <c r="AK132" s="188">
        <f>0.7*AD132</f>
        <v>35000000</v>
      </c>
      <c r="AL132" s="72"/>
      <c r="AM132" s="183"/>
      <c r="AN132" s="183"/>
      <c r="AO132" s="183"/>
      <c r="AP132" s="183"/>
      <c r="AQ132" s="273"/>
    </row>
    <row r="133" spans="1:43" ht="13.8" thickTop="1" x14ac:dyDescent="0.25">
      <c r="A133" s="407"/>
      <c r="B133" s="408"/>
      <c r="C133" s="408"/>
      <c r="D133" s="408"/>
      <c r="E133" s="409"/>
      <c r="F133" s="242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8"/>
      <c r="AC133" s="239"/>
      <c r="AD133" s="257">
        <f>SUM(AF133:AQ133)</f>
        <v>3210321000</v>
      </c>
      <c r="AE133" s="240"/>
      <c r="AF133" s="241">
        <f>SUM(AF92:AF132)</f>
        <v>4000000</v>
      </c>
      <c r="AG133" s="241">
        <f t="shared" ref="AG133:AQ133" si="14">SUM(AG92:AG132)</f>
        <v>23050000</v>
      </c>
      <c r="AH133" s="241">
        <f>SUM(AH92:AH132)</f>
        <v>808282700</v>
      </c>
      <c r="AI133" s="241">
        <f t="shared" si="14"/>
        <v>133075000</v>
      </c>
      <c r="AJ133" s="439">
        <f t="shared" si="14"/>
        <v>1320676300</v>
      </c>
      <c r="AK133" s="241">
        <f t="shared" si="14"/>
        <v>721375000</v>
      </c>
      <c r="AL133" s="241">
        <f t="shared" si="14"/>
        <v>142495000</v>
      </c>
      <c r="AM133" s="241">
        <f t="shared" si="14"/>
        <v>12732000</v>
      </c>
      <c r="AN133" s="241">
        <f t="shared" si="14"/>
        <v>11750000</v>
      </c>
      <c r="AO133" s="241">
        <f t="shared" si="14"/>
        <v>20550000</v>
      </c>
      <c r="AP133" s="241">
        <f t="shared" si="14"/>
        <v>11335000</v>
      </c>
      <c r="AQ133" s="278">
        <f t="shared" si="14"/>
        <v>1000000</v>
      </c>
    </row>
    <row r="134" spans="1:43" ht="13.8" thickBot="1" x14ac:dyDescent="0.3">
      <c r="A134" s="440"/>
      <c r="B134" s="441"/>
      <c r="C134" s="441"/>
      <c r="D134" s="441"/>
      <c r="E134" s="442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62"/>
      <c r="AC134" s="244"/>
      <c r="AD134" s="266" t="s">
        <v>225</v>
      </c>
      <c r="AE134" s="245"/>
      <c r="AF134" s="978">
        <f>+AF133+AG133+AH133</f>
        <v>835332700</v>
      </c>
      <c r="AG134" s="979"/>
      <c r="AH134" s="443"/>
      <c r="AI134" s="1007">
        <f>+AI133+AJ133+AK133</f>
        <v>2175126300</v>
      </c>
      <c r="AJ134" s="1035"/>
      <c r="AK134" s="248"/>
      <c r="AL134" s="1009">
        <f>+AL133+AM133+AN133</f>
        <v>166977000</v>
      </c>
      <c r="AM134" s="1036"/>
      <c r="AN134" s="251"/>
      <c r="AO134" s="255">
        <f>+AO133+AP133+AQ133</f>
        <v>32885000</v>
      </c>
      <c r="AP134" s="252"/>
      <c r="AQ134" s="279"/>
    </row>
    <row r="135" spans="1:43" ht="13.8" x14ac:dyDescent="0.25">
      <c r="A135" s="151" t="s">
        <v>213</v>
      </c>
      <c r="B135" s="146"/>
      <c r="C135" s="146"/>
      <c r="D135" s="146"/>
      <c r="E135" s="146"/>
      <c r="F135" s="146"/>
      <c r="G135" s="146"/>
      <c r="H135" s="1037" t="s">
        <v>216</v>
      </c>
      <c r="I135" s="1037"/>
      <c r="J135" s="1037"/>
      <c r="K135" s="1037"/>
      <c r="L135" s="1037"/>
      <c r="M135" s="1037"/>
      <c r="N135" s="1037"/>
      <c r="O135" s="1037"/>
      <c r="P135" s="1037"/>
      <c r="Q135" s="1037"/>
      <c r="R135" s="1037"/>
      <c r="S135" s="1037"/>
      <c r="T135" s="1037"/>
      <c r="U135" s="1037"/>
      <c r="V135" s="1037"/>
      <c r="W135" s="1037"/>
      <c r="X135" s="1037"/>
      <c r="Y135" s="1037"/>
      <c r="Z135" s="1037"/>
      <c r="AA135" s="1037"/>
      <c r="AB135" s="1037"/>
      <c r="AC135" s="1038"/>
      <c r="AD135" s="147">
        <f>+AD137+AD184+AD216</f>
        <v>5033361750</v>
      </c>
      <c r="AE135" s="63">
        <f>(AD135/AD$13)*100</f>
        <v>38.145992820497334</v>
      </c>
      <c r="AF135" s="197"/>
      <c r="AG135" s="209"/>
      <c r="AH135" s="199"/>
      <c r="AI135" s="199"/>
      <c r="AJ135" s="210"/>
      <c r="AK135" s="199"/>
      <c r="AL135" s="199"/>
      <c r="AM135" s="211"/>
      <c r="AN135" s="211"/>
      <c r="AO135" s="211"/>
      <c r="AP135" s="211"/>
      <c r="AQ135" s="281"/>
    </row>
    <row r="136" spans="1:43" ht="15" customHeight="1" x14ac:dyDescent="0.25">
      <c r="A136" s="328"/>
      <c r="B136" s="69"/>
      <c r="C136" s="69"/>
      <c r="D136" s="69"/>
      <c r="E136" s="69"/>
      <c r="F136" s="69"/>
      <c r="G136" s="69"/>
      <c r="H136" s="1039"/>
      <c r="I136" s="1039"/>
      <c r="J136" s="1039"/>
      <c r="K136" s="1039"/>
      <c r="L136" s="1039"/>
      <c r="M136" s="1039"/>
      <c r="N136" s="1039"/>
      <c r="O136" s="1039"/>
      <c r="P136" s="1039"/>
      <c r="Q136" s="1039"/>
      <c r="R136" s="1039"/>
      <c r="S136" s="1039"/>
      <c r="T136" s="1039"/>
      <c r="U136" s="1039"/>
      <c r="V136" s="1039"/>
      <c r="W136" s="1039"/>
      <c r="X136" s="1039"/>
      <c r="Y136" s="1039"/>
      <c r="Z136" s="1039"/>
      <c r="AA136" s="1039"/>
      <c r="AB136" s="1039"/>
      <c r="AC136" s="1040"/>
      <c r="AD136" s="74"/>
      <c r="AE136" s="127"/>
      <c r="AF136" s="188"/>
      <c r="AG136" s="190"/>
      <c r="AH136" s="188"/>
      <c r="AI136" s="188"/>
      <c r="AJ136" s="190"/>
      <c r="AK136" s="188"/>
      <c r="AL136" s="188"/>
      <c r="AM136" s="183"/>
      <c r="AN136" s="183"/>
      <c r="AO136" s="183"/>
      <c r="AP136" s="183"/>
      <c r="AQ136" s="273"/>
    </row>
    <row r="137" spans="1:43" x14ac:dyDescent="0.25">
      <c r="A137" s="329" t="s">
        <v>214</v>
      </c>
      <c r="B137" s="412"/>
      <c r="C137" s="412"/>
      <c r="D137" s="412"/>
      <c r="E137" s="413"/>
      <c r="F137" s="133"/>
      <c r="G137" s="134"/>
      <c r="H137" s="134" t="s">
        <v>215</v>
      </c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5"/>
      <c r="AC137" s="136"/>
      <c r="AD137" s="103">
        <f>+AD138</f>
        <v>2824752000</v>
      </c>
      <c r="AE137" s="63">
        <f>(AD137/AD$13)*100</f>
        <v>21.40775387576414</v>
      </c>
      <c r="AF137" s="186"/>
      <c r="AG137" s="190"/>
      <c r="AH137" s="188"/>
      <c r="AI137" s="188"/>
      <c r="AJ137" s="190"/>
      <c r="AK137" s="188"/>
      <c r="AL137" s="188"/>
      <c r="AM137" s="183"/>
      <c r="AN137" s="183"/>
      <c r="AO137" s="183"/>
      <c r="AP137" s="183"/>
      <c r="AQ137" s="273"/>
    </row>
    <row r="138" spans="1:43" x14ac:dyDescent="0.25">
      <c r="A138" s="328">
        <v>5</v>
      </c>
      <c r="B138" s="390">
        <v>2</v>
      </c>
      <c r="C138" s="391"/>
      <c r="D138" s="392"/>
      <c r="E138" s="393"/>
      <c r="F138" s="73" t="s">
        <v>120</v>
      </c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86"/>
      <c r="AD138" s="74">
        <f>+AD139</f>
        <v>2824752000</v>
      </c>
      <c r="AE138" s="63">
        <f>(AD138/AD$13)*100</f>
        <v>21.40775387576414</v>
      </c>
      <c r="AF138" s="186"/>
      <c r="AG138" s="190"/>
      <c r="AH138" s="188"/>
      <c r="AI138" s="188"/>
      <c r="AJ138" s="189"/>
      <c r="AK138" s="188"/>
      <c r="AL138" s="188"/>
      <c r="AM138" s="183"/>
      <c r="AN138" s="183"/>
      <c r="AO138" s="183"/>
      <c r="AP138" s="183"/>
      <c r="AQ138" s="273"/>
    </row>
    <row r="139" spans="1:43" x14ac:dyDescent="0.25">
      <c r="A139" s="402">
        <v>5</v>
      </c>
      <c r="B139" s="332">
        <v>2</v>
      </c>
      <c r="C139" s="332">
        <v>2</v>
      </c>
      <c r="D139" s="332"/>
      <c r="E139" s="400" t="s">
        <v>33</v>
      </c>
      <c r="F139" s="44" t="s">
        <v>83</v>
      </c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6"/>
      <c r="AD139" s="34">
        <f>+AD142+AD151+AD157+AD162+AD166+AD168+AD170+AD173+AD175+AD177+AD179</f>
        <v>2824752000</v>
      </c>
      <c r="AE139" s="63">
        <f>(AD139/AD$13)*100</f>
        <v>21.40775387576414</v>
      </c>
      <c r="AF139" s="116"/>
      <c r="AG139" s="189"/>
      <c r="AH139" s="188"/>
      <c r="AI139" s="117"/>
      <c r="AJ139" s="189"/>
      <c r="AK139" s="188"/>
      <c r="AL139" s="188"/>
      <c r="AM139" s="183"/>
      <c r="AN139" s="183"/>
      <c r="AO139" s="183"/>
      <c r="AP139" s="183"/>
      <c r="AQ139" s="273"/>
    </row>
    <row r="140" spans="1:43" x14ac:dyDescent="0.25">
      <c r="A140" s="402">
        <v>5</v>
      </c>
      <c r="B140" s="332">
        <v>2</v>
      </c>
      <c r="C140" s="332">
        <v>2</v>
      </c>
      <c r="D140" s="332">
        <v>27</v>
      </c>
      <c r="E140" s="400"/>
      <c r="F140" s="420" t="s">
        <v>119</v>
      </c>
      <c r="G140" s="323"/>
      <c r="H140" s="323"/>
      <c r="I140" s="323"/>
      <c r="J140" s="323"/>
      <c r="K140" s="323"/>
      <c r="L140" s="323"/>
      <c r="M140" s="323"/>
      <c r="N140" s="323"/>
      <c r="O140" s="323"/>
      <c r="P140" s="323"/>
      <c r="Q140" s="323"/>
      <c r="R140" s="323"/>
      <c r="S140" s="323"/>
      <c r="T140" s="323"/>
      <c r="U140" s="323"/>
      <c r="V140" s="323"/>
      <c r="W140" s="323"/>
      <c r="X140" s="323"/>
      <c r="Y140" s="323"/>
      <c r="Z140" s="323"/>
      <c r="AA140" s="323"/>
      <c r="AB140" s="323"/>
      <c r="AC140" s="324"/>
      <c r="AD140" s="34"/>
      <c r="AE140" s="127"/>
      <c r="AF140" s="117"/>
      <c r="AG140" s="189"/>
      <c r="AH140" s="188"/>
      <c r="AI140" s="117"/>
      <c r="AJ140" s="189"/>
      <c r="AK140" s="188"/>
      <c r="AL140" s="188"/>
      <c r="AM140" s="183"/>
      <c r="AN140" s="183"/>
      <c r="AO140" s="183"/>
      <c r="AP140" s="183"/>
      <c r="AQ140" s="273"/>
    </row>
    <row r="141" spans="1:43" x14ac:dyDescent="0.25">
      <c r="A141" s="402">
        <v>5</v>
      </c>
      <c r="B141" s="332">
        <v>2</v>
      </c>
      <c r="C141" s="332">
        <v>2</v>
      </c>
      <c r="D141" s="332">
        <v>27</v>
      </c>
      <c r="E141" s="403" t="s">
        <v>5</v>
      </c>
      <c r="F141" s="420" t="s">
        <v>121</v>
      </c>
      <c r="G141" s="323"/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4"/>
      <c r="AD141" s="34"/>
      <c r="AE141" s="127"/>
      <c r="AF141" s="196"/>
      <c r="AG141" s="189"/>
      <c r="AH141" s="188"/>
      <c r="AI141" s="188"/>
      <c r="AJ141" s="189"/>
      <c r="AK141" s="188"/>
      <c r="AL141" s="188"/>
      <c r="AM141" s="183"/>
      <c r="AN141" s="183"/>
      <c r="AO141" s="183"/>
      <c r="AP141" s="183"/>
      <c r="AQ141" s="273"/>
    </row>
    <row r="142" spans="1:43" x14ac:dyDescent="0.25">
      <c r="A142" s="402"/>
      <c r="B142" s="332"/>
      <c r="C142" s="332"/>
      <c r="D142" s="332"/>
      <c r="E142" s="403" t="s">
        <v>37</v>
      </c>
      <c r="F142" s="420" t="s">
        <v>141</v>
      </c>
      <c r="G142" s="323"/>
      <c r="H142" s="323"/>
      <c r="I142" s="323"/>
      <c r="J142" s="323"/>
      <c r="K142" s="323"/>
      <c r="L142" s="323"/>
      <c r="M142" s="323"/>
      <c r="N142" s="323"/>
      <c r="O142" s="323"/>
      <c r="P142" s="323"/>
      <c r="Q142" s="323"/>
      <c r="R142" s="323"/>
      <c r="S142" s="323"/>
      <c r="T142" s="323"/>
      <c r="U142" s="323"/>
      <c r="V142" s="323"/>
      <c r="W142" s="323"/>
      <c r="X142" s="323"/>
      <c r="Y142" s="323"/>
      <c r="Z142" s="323"/>
      <c r="AA142" s="323"/>
      <c r="AB142" s="323"/>
      <c r="AC142" s="324"/>
      <c r="AD142" s="34">
        <f>SUM(AD143:AD149)</f>
        <v>2525000000</v>
      </c>
      <c r="AE142" s="63">
        <f t="shared" ref="AE142:AE149" si="15">(AD142/AD$13)*100</f>
        <v>19.136043991226295</v>
      </c>
      <c r="AF142" s="196"/>
      <c r="AG142" s="189"/>
      <c r="AH142" s="188"/>
      <c r="AI142" s="188"/>
      <c r="AJ142" s="189"/>
      <c r="AK142" s="188"/>
      <c r="AL142" s="188"/>
      <c r="AM142" s="183"/>
      <c r="AN142" s="183"/>
      <c r="AO142" s="195"/>
      <c r="AP142" s="195"/>
      <c r="AQ142" s="276"/>
    </row>
    <row r="143" spans="1:43" x14ac:dyDescent="0.25">
      <c r="A143" s="402"/>
      <c r="B143" s="332"/>
      <c r="C143" s="332"/>
      <c r="D143" s="332"/>
      <c r="E143" s="400"/>
      <c r="F143" s="125">
        <v>1</v>
      </c>
      <c r="G143" s="421" t="s">
        <v>250</v>
      </c>
      <c r="H143" s="323"/>
      <c r="I143" s="323"/>
      <c r="J143" s="323"/>
      <c r="K143" s="323"/>
      <c r="L143" s="323"/>
      <c r="M143" s="323"/>
      <c r="N143" s="323"/>
      <c r="O143" s="323"/>
      <c r="P143" s="323"/>
      <c r="Q143" s="323"/>
      <c r="R143" s="323"/>
      <c r="S143" s="323"/>
      <c r="T143" s="323"/>
      <c r="U143" s="323"/>
      <c r="V143" s="323"/>
      <c r="W143" s="323"/>
      <c r="X143" s="323"/>
      <c r="Y143" s="323"/>
      <c r="Z143" s="323"/>
      <c r="AA143" s="323"/>
      <c r="AB143" s="323"/>
      <c r="AC143" s="324"/>
      <c r="AD143" s="74">
        <v>450000000</v>
      </c>
      <c r="AE143" s="63">
        <f t="shared" si="15"/>
        <v>3.4103840776442897</v>
      </c>
      <c r="AF143" s="117"/>
      <c r="AG143" s="189"/>
      <c r="AH143" s="188">
        <f>0.3*AD143</f>
        <v>135000000</v>
      </c>
      <c r="AI143" s="189">
        <f>0.5*AD143-(0.5*AH143)</f>
        <v>157500000</v>
      </c>
      <c r="AJ143" s="188">
        <f>+AI143</f>
        <v>157500000</v>
      </c>
      <c r="AK143" s="188"/>
      <c r="AL143" s="183"/>
      <c r="AM143" s="183"/>
      <c r="AN143" s="183"/>
      <c r="AO143" s="183"/>
      <c r="AP143" s="183"/>
      <c r="AQ143" s="273"/>
    </row>
    <row r="144" spans="1:43" x14ac:dyDescent="0.25">
      <c r="A144" s="402"/>
      <c r="B144" s="332"/>
      <c r="C144" s="332"/>
      <c r="D144" s="332"/>
      <c r="E144" s="400"/>
      <c r="F144" s="125">
        <f>+F143+1</f>
        <v>2</v>
      </c>
      <c r="G144" s="421" t="s">
        <v>142</v>
      </c>
      <c r="H144" s="323"/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3"/>
      <c r="U144" s="323"/>
      <c r="V144" s="323"/>
      <c r="W144" s="323"/>
      <c r="X144" s="323"/>
      <c r="Y144" s="323"/>
      <c r="Z144" s="323"/>
      <c r="AA144" s="323"/>
      <c r="AB144" s="323"/>
      <c r="AC144" s="324"/>
      <c r="AD144" s="74">
        <v>450000000</v>
      </c>
      <c r="AE144" s="63">
        <f t="shared" si="15"/>
        <v>3.4103840776442897</v>
      </c>
      <c r="AF144" s="196"/>
      <c r="AG144" s="189"/>
      <c r="AH144" s="188"/>
      <c r="AI144" s="188"/>
      <c r="AJ144" s="188"/>
      <c r="AK144" s="188">
        <f>0.3*AD144</f>
        <v>135000000</v>
      </c>
      <c r="AL144" s="188">
        <f>0.5*AD144-(0.5*AK144)</f>
        <v>157500000</v>
      </c>
      <c r="AM144" s="183">
        <f>+AL144</f>
        <v>157500000</v>
      </c>
      <c r="AN144" s="183"/>
      <c r="AO144" s="183"/>
      <c r="AP144" s="183"/>
      <c r="AQ144" s="273"/>
    </row>
    <row r="145" spans="1:43" x14ac:dyDescent="0.25">
      <c r="A145" s="402"/>
      <c r="B145" s="332"/>
      <c r="C145" s="332"/>
      <c r="D145" s="332"/>
      <c r="E145" s="400"/>
      <c r="F145" s="125">
        <f t="shared" ref="F145:F155" si="16">+F144+1</f>
        <v>3</v>
      </c>
      <c r="G145" s="421" t="s">
        <v>249</v>
      </c>
      <c r="H145" s="323"/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23"/>
      <c r="AB145" s="323"/>
      <c r="AC145" s="324"/>
      <c r="AD145" s="74">
        <v>400000000</v>
      </c>
      <c r="AE145" s="63">
        <f t="shared" si="15"/>
        <v>3.0314525134615913</v>
      </c>
      <c r="AF145" s="196"/>
      <c r="AG145" s="189"/>
      <c r="AH145" s="188">
        <f>0.3*AD145</f>
        <v>120000000</v>
      </c>
      <c r="AI145" s="189">
        <f>0.5*AD145-(0.5*AH145)</f>
        <v>140000000</v>
      </c>
      <c r="AJ145" s="188">
        <f>+AI145</f>
        <v>140000000</v>
      </c>
      <c r="AK145" s="188"/>
      <c r="AL145" s="183"/>
      <c r="AM145" s="194"/>
      <c r="AN145" s="183"/>
      <c r="AO145" s="195"/>
      <c r="AP145" s="195"/>
      <c r="AQ145" s="276"/>
    </row>
    <row r="146" spans="1:43" x14ac:dyDescent="0.25">
      <c r="A146" s="402"/>
      <c r="B146" s="332"/>
      <c r="C146" s="332"/>
      <c r="D146" s="332"/>
      <c r="E146" s="400"/>
      <c r="F146" s="125">
        <f t="shared" si="16"/>
        <v>4</v>
      </c>
      <c r="G146" s="421" t="s">
        <v>246</v>
      </c>
      <c r="H146" s="323"/>
      <c r="I146" s="323"/>
      <c r="J146" s="323"/>
      <c r="K146" s="323"/>
      <c r="L146" s="323"/>
      <c r="M146" s="323"/>
      <c r="N146" s="323"/>
      <c r="O146" s="323"/>
      <c r="P146" s="323"/>
      <c r="Q146" s="323"/>
      <c r="R146" s="323"/>
      <c r="S146" s="323"/>
      <c r="T146" s="323"/>
      <c r="U146" s="323"/>
      <c r="V146" s="323"/>
      <c r="W146" s="323"/>
      <c r="X146" s="323"/>
      <c r="Y146" s="323"/>
      <c r="Z146" s="323"/>
      <c r="AA146" s="323"/>
      <c r="AB146" s="323"/>
      <c r="AC146" s="324"/>
      <c r="AD146" s="74">
        <v>530000000</v>
      </c>
      <c r="AE146" s="63">
        <f t="shared" si="15"/>
        <v>4.0166745803366082</v>
      </c>
      <c r="AF146" s="116"/>
      <c r="AG146" s="189"/>
      <c r="AH146" s="188">
        <f>0.3*AD146</f>
        <v>159000000</v>
      </c>
      <c r="AI146" s="189">
        <f>0.5*AD146-(0.5*AH146)</f>
        <v>185500000</v>
      </c>
      <c r="AJ146" s="188">
        <f>+AI146</f>
        <v>185500000</v>
      </c>
      <c r="AK146" s="188"/>
      <c r="AL146" s="183"/>
      <c r="AM146" s="183"/>
      <c r="AN146" s="183"/>
      <c r="AO146" s="183"/>
      <c r="AP146" s="183"/>
      <c r="AQ146" s="273"/>
    </row>
    <row r="147" spans="1:43" x14ac:dyDescent="0.25">
      <c r="A147" s="402"/>
      <c r="B147" s="332"/>
      <c r="C147" s="332"/>
      <c r="D147" s="332"/>
      <c r="E147" s="400"/>
      <c r="F147" s="125">
        <f>+F146+1</f>
        <v>5</v>
      </c>
      <c r="G147" s="421" t="s">
        <v>247</v>
      </c>
      <c r="H147" s="323"/>
      <c r="I147" s="323"/>
      <c r="J147" s="323"/>
      <c r="K147" s="323"/>
      <c r="L147" s="323"/>
      <c r="M147" s="323"/>
      <c r="N147" s="323"/>
      <c r="O147" s="323"/>
      <c r="P147" s="323"/>
      <c r="Q147" s="323"/>
      <c r="R147" s="323"/>
      <c r="S147" s="323"/>
      <c r="T147" s="323"/>
      <c r="U147" s="323"/>
      <c r="V147" s="323"/>
      <c r="W147" s="323"/>
      <c r="X147" s="323"/>
      <c r="Y147" s="323"/>
      <c r="Z147" s="323"/>
      <c r="AA147" s="323"/>
      <c r="AB147" s="323"/>
      <c r="AC147" s="324"/>
      <c r="AD147" s="74">
        <v>500000000</v>
      </c>
      <c r="AE147" s="63">
        <f t="shared" si="15"/>
        <v>3.7893156418269887</v>
      </c>
      <c r="AF147" s="117"/>
      <c r="AG147" s="189"/>
      <c r="AH147" s="188">
        <f>0.3*AD147</f>
        <v>150000000</v>
      </c>
      <c r="AI147" s="189">
        <f>0.5*AD147-(0.5*AH147)</f>
        <v>175000000</v>
      </c>
      <c r="AJ147" s="188">
        <f>+AI147</f>
        <v>175000000</v>
      </c>
      <c r="AK147" s="188"/>
      <c r="AL147" s="183"/>
      <c r="AM147" s="183"/>
      <c r="AN147" s="183"/>
      <c r="AO147" s="183"/>
      <c r="AP147" s="183"/>
      <c r="AQ147" s="273"/>
    </row>
    <row r="148" spans="1:43" x14ac:dyDescent="0.25">
      <c r="A148" s="402"/>
      <c r="B148" s="332"/>
      <c r="C148" s="332"/>
      <c r="D148" s="332"/>
      <c r="E148" s="400"/>
      <c r="F148" s="125">
        <f>+F147+1</f>
        <v>6</v>
      </c>
      <c r="G148" s="421" t="s">
        <v>248</v>
      </c>
      <c r="H148" s="323"/>
      <c r="I148" s="323"/>
      <c r="J148" s="323"/>
      <c r="K148" s="323"/>
      <c r="L148" s="323"/>
      <c r="M148" s="323"/>
      <c r="N148" s="323"/>
      <c r="O148" s="323"/>
      <c r="P148" s="323"/>
      <c r="Q148" s="323"/>
      <c r="R148" s="323"/>
      <c r="S148" s="323"/>
      <c r="T148" s="323"/>
      <c r="U148" s="323"/>
      <c r="V148" s="323"/>
      <c r="W148" s="323"/>
      <c r="X148" s="323"/>
      <c r="Y148" s="323"/>
      <c r="Z148" s="323"/>
      <c r="AA148" s="323"/>
      <c r="AB148" s="323"/>
      <c r="AC148" s="324"/>
      <c r="AD148" s="74">
        <v>95000000</v>
      </c>
      <c r="AE148" s="63">
        <f t="shared" si="15"/>
        <v>0.71996997194712786</v>
      </c>
      <c r="AF148" s="117"/>
      <c r="AG148" s="189"/>
      <c r="AH148" s="188">
        <f>0.3*AD148</f>
        <v>28500000</v>
      </c>
      <c r="AI148" s="189">
        <f>0.5*AD148-(0.5*AH148)</f>
        <v>33250000</v>
      </c>
      <c r="AJ148" s="188">
        <f>+AI148</f>
        <v>33250000</v>
      </c>
      <c r="AK148" s="188"/>
      <c r="AL148" s="183"/>
      <c r="AM148" s="183"/>
      <c r="AN148" s="183"/>
      <c r="AO148" s="183"/>
      <c r="AP148" s="183"/>
      <c r="AQ148" s="273"/>
    </row>
    <row r="149" spans="1:43" x14ac:dyDescent="0.25">
      <c r="A149" s="402"/>
      <c r="B149" s="332"/>
      <c r="C149" s="332"/>
      <c r="D149" s="332"/>
      <c r="E149" s="400"/>
      <c r="F149" s="125">
        <f>+F148+1</f>
        <v>7</v>
      </c>
      <c r="G149" s="421" t="s">
        <v>143</v>
      </c>
      <c r="H149" s="323"/>
      <c r="I149" s="323"/>
      <c r="J149" s="323"/>
      <c r="K149" s="323"/>
      <c r="L149" s="323"/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23"/>
      <c r="Z149" s="323"/>
      <c r="AA149" s="323"/>
      <c r="AB149" s="323"/>
      <c r="AC149" s="324"/>
      <c r="AD149" s="74">
        <v>100000000</v>
      </c>
      <c r="AE149" s="63">
        <f t="shared" si="15"/>
        <v>0.75786312836539782</v>
      </c>
      <c r="AF149" s="196"/>
      <c r="AG149" s="189"/>
      <c r="AH149" s="188">
        <f>0.3*AD149</f>
        <v>30000000</v>
      </c>
      <c r="AI149" s="189">
        <f>0.5*AD149-(0.5*AH149)</f>
        <v>35000000</v>
      </c>
      <c r="AJ149" s="188">
        <f>+AI149</f>
        <v>35000000</v>
      </c>
      <c r="AK149" s="188"/>
      <c r="AL149" s="183"/>
      <c r="AM149" s="183"/>
      <c r="AN149" s="183"/>
      <c r="AO149" s="183"/>
      <c r="AP149" s="183"/>
      <c r="AQ149" s="273"/>
    </row>
    <row r="150" spans="1:43" x14ac:dyDescent="0.25">
      <c r="A150" s="402"/>
      <c r="B150" s="332"/>
      <c r="C150" s="332"/>
      <c r="D150" s="332"/>
      <c r="E150" s="400"/>
      <c r="F150" s="125"/>
      <c r="G150" s="421"/>
      <c r="H150" s="323"/>
      <c r="I150" s="323"/>
      <c r="J150" s="323"/>
      <c r="K150" s="323"/>
      <c r="L150" s="323"/>
      <c r="M150" s="323"/>
      <c r="N150" s="323"/>
      <c r="O150" s="323"/>
      <c r="P150" s="323"/>
      <c r="Q150" s="323"/>
      <c r="R150" s="323"/>
      <c r="S150" s="323"/>
      <c r="T150" s="323"/>
      <c r="U150" s="323"/>
      <c r="V150" s="323"/>
      <c r="W150" s="323"/>
      <c r="X150" s="323"/>
      <c r="Y150" s="323"/>
      <c r="Z150" s="323"/>
      <c r="AA150" s="323"/>
      <c r="AB150" s="323"/>
      <c r="AC150" s="324"/>
      <c r="AD150" s="74"/>
      <c r="AE150" s="127"/>
      <c r="AF150" s="196"/>
      <c r="AG150" s="189"/>
      <c r="AH150" s="188"/>
      <c r="AI150" s="188"/>
      <c r="AJ150" s="189"/>
      <c r="AK150" s="188"/>
      <c r="AL150" s="188"/>
      <c r="AM150" s="183"/>
      <c r="AN150" s="183"/>
      <c r="AO150" s="183"/>
      <c r="AP150" s="183"/>
      <c r="AQ150" s="273"/>
    </row>
    <row r="151" spans="1:43" x14ac:dyDescent="0.25">
      <c r="A151" s="402"/>
      <c r="B151" s="332"/>
      <c r="C151" s="332"/>
      <c r="D151" s="332"/>
      <c r="E151" s="403" t="s">
        <v>37</v>
      </c>
      <c r="F151" s="420" t="s">
        <v>144</v>
      </c>
      <c r="G151" s="323"/>
      <c r="H151" s="323"/>
      <c r="I151" s="323"/>
      <c r="J151" s="323"/>
      <c r="K151" s="323"/>
      <c r="L151" s="323"/>
      <c r="M151" s="323"/>
      <c r="N151" s="323"/>
      <c r="O151" s="323"/>
      <c r="P151" s="323"/>
      <c r="Q151" s="323"/>
      <c r="R151" s="323"/>
      <c r="S151" s="323"/>
      <c r="T151" s="323"/>
      <c r="U151" s="323"/>
      <c r="V151" s="323"/>
      <c r="W151" s="323"/>
      <c r="X151" s="323"/>
      <c r="Y151" s="323"/>
      <c r="Z151" s="323"/>
      <c r="AA151" s="323"/>
      <c r="AB151" s="323"/>
      <c r="AC151" s="324"/>
      <c r="AD151" s="34">
        <f>SUM(AD152:AD155)</f>
        <v>200000000</v>
      </c>
      <c r="AE151" s="63">
        <f>(AD151/AD$13)*100</f>
        <v>1.5157262567307956</v>
      </c>
      <c r="AF151" s="196"/>
      <c r="AG151" s="189"/>
      <c r="AH151" s="188"/>
      <c r="AI151" s="188"/>
      <c r="AJ151" s="189"/>
      <c r="AK151" s="188"/>
      <c r="AL151" s="188"/>
      <c r="AM151" s="183"/>
      <c r="AN151" s="183"/>
      <c r="AO151" s="183"/>
      <c r="AP151" s="183"/>
      <c r="AQ151" s="273"/>
    </row>
    <row r="152" spans="1:43" x14ac:dyDescent="0.25">
      <c r="A152" s="402"/>
      <c r="B152" s="332"/>
      <c r="C152" s="332"/>
      <c r="D152" s="332"/>
      <c r="E152" s="400"/>
      <c r="F152" s="125">
        <v>1</v>
      </c>
      <c r="G152" s="421" t="s">
        <v>145</v>
      </c>
      <c r="H152" s="323"/>
      <c r="I152" s="323"/>
      <c r="J152" s="323"/>
      <c r="K152" s="323"/>
      <c r="L152" s="323"/>
      <c r="M152" s="323"/>
      <c r="N152" s="323"/>
      <c r="O152" s="323"/>
      <c r="P152" s="323"/>
      <c r="Q152" s="323"/>
      <c r="R152" s="323"/>
      <c r="S152" s="323"/>
      <c r="T152" s="323"/>
      <c r="U152" s="323"/>
      <c r="V152" s="323"/>
      <c r="W152" s="323"/>
      <c r="X152" s="323"/>
      <c r="Y152" s="323"/>
      <c r="Z152" s="323"/>
      <c r="AA152" s="323"/>
      <c r="AB152" s="323"/>
      <c r="AC152" s="324"/>
      <c r="AD152" s="74">
        <v>50000000</v>
      </c>
      <c r="AE152" s="63">
        <f>(AD152/AD$13)*100</f>
        <v>0.37893156418269891</v>
      </c>
      <c r="AF152" s="196"/>
      <c r="AG152" s="189"/>
      <c r="AH152" s="188">
        <f>0.3*AD152</f>
        <v>15000000</v>
      </c>
      <c r="AI152" s="189"/>
      <c r="AJ152" s="188">
        <f>0.7*AD152</f>
        <v>35000000</v>
      </c>
      <c r="AK152" s="72"/>
      <c r="AL152" s="117"/>
      <c r="AM152" s="183"/>
      <c r="AN152" s="194"/>
      <c r="AO152" s="195"/>
      <c r="AP152" s="195"/>
      <c r="AQ152" s="276"/>
    </row>
    <row r="153" spans="1:43" x14ac:dyDescent="0.25">
      <c r="A153" s="402"/>
      <c r="B153" s="332"/>
      <c r="C153" s="332"/>
      <c r="D153" s="332"/>
      <c r="E153" s="400"/>
      <c r="F153" s="125">
        <f t="shared" si="16"/>
        <v>2</v>
      </c>
      <c r="G153" s="421" t="s">
        <v>146</v>
      </c>
      <c r="H153" s="323"/>
      <c r="I153" s="323"/>
      <c r="J153" s="323"/>
      <c r="K153" s="323"/>
      <c r="L153" s="323"/>
      <c r="M153" s="323"/>
      <c r="N153" s="323"/>
      <c r="O153" s="323"/>
      <c r="P153" s="323"/>
      <c r="Q153" s="323"/>
      <c r="R153" s="323"/>
      <c r="S153" s="323"/>
      <c r="T153" s="323"/>
      <c r="U153" s="323"/>
      <c r="V153" s="323"/>
      <c r="W153" s="323"/>
      <c r="X153" s="323"/>
      <c r="Y153" s="323"/>
      <c r="Z153" s="323"/>
      <c r="AA153" s="323"/>
      <c r="AB153" s="323"/>
      <c r="AC153" s="324"/>
      <c r="AD153" s="74">
        <v>50000000</v>
      </c>
      <c r="AE153" s="63">
        <f>(AD153/AD$13)*100</f>
        <v>0.37893156418269891</v>
      </c>
      <c r="AF153" s="116"/>
      <c r="AG153" s="303"/>
      <c r="AH153" s="208"/>
      <c r="AI153" s="208"/>
      <c r="AJ153" s="208"/>
      <c r="AK153" s="188">
        <f>0.3*AD153</f>
        <v>15000000</v>
      </c>
      <c r="AL153" s="189"/>
      <c r="AM153" s="188">
        <f>0.7*AD153</f>
        <v>35000000</v>
      </c>
      <c r="AN153" s="183"/>
      <c r="AO153" s="183"/>
      <c r="AP153" s="183"/>
      <c r="AQ153" s="273"/>
    </row>
    <row r="154" spans="1:43" x14ac:dyDescent="0.25">
      <c r="A154" s="402"/>
      <c r="B154" s="332"/>
      <c r="C154" s="332"/>
      <c r="D154" s="332"/>
      <c r="E154" s="400"/>
      <c r="F154" s="124">
        <f t="shared" si="16"/>
        <v>3</v>
      </c>
      <c r="G154" s="421" t="s">
        <v>147</v>
      </c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324"/>
      <c r="AD154" s="74">
        <v>50000000</v>
      </c>
      <c r="AE154" s="63">
        <f>(AD154/AD$13)*100</f>
        <v>0.37893156418269891</v>
      </c>
      <c r="AF154" s="117"/>
      <c r="AG154" s="189"/>
      <c r="AH154" s="188">
        <f>0.3*AD154</f>
        <v>15000000</v>
      </c>
      <c r="AI154" s="189"/>
      <c r="AJ154" s="188">
        <f>0.7*AD154</f>
        <v>35000000</v>
      </c>
      <c r="AK154" s="72"/>
      <c r="AL154" s="188"/>
      <c r="AM154" s="183"/>
      <c r="AN154" s="183"/>
      <c r="AO154" s="183"/>
      <c r="AP154" s="183"/>
      <c r="AQ154" s="273"/>
    </row>
    <row r="155" spans="1:43" x14ac:dyDescent="0.25">
      <c r="A155" s="402"/>
      <c r="B155" s="332"/>
      <c r="C155" s="332"/>
      <c r="D155" s="332"/>
      <c r="E155" s="400"/>
      <c r="F155" s="124">
        <f t="shared" si="16"/>
        <v>4</v>
      </c>
      <c r="G155" s="421" t="s">
        <v>148</v>
      </c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324"/>
      <c r="AD155" s="74">
        <v>50000000</v>
      </c>
      <c r="AE155" s="127"/>
      <c r="AF155" s="196"/>
      <c r="AG155" s="189"/>
      <c r="AH155" s="188">
        <f>0.3*AD155</f>
        <v>15000000</v>
      </c>
      <c r="AI155" s="189"/>
      <c r="AJ155" s="188">
        <f>0.7*AD155</f>
        <v>35000000</v>
      </c>
      <c r="AK155" s="72"/>
      <c r="AL155" s="188"/>
      <c r="AM155" s="183"/>
      <c r="AN155" s="183"/>
      <c r="AO155" s="183"/>
      <c r="AP155" s="183"/>
      <c r="AQ155" s="273"/>
    </row>
    <row r="156" spans="1:43" x14ac:dyDescent="0.25">
      <c r="A156" s="402"/>
      <c r="B156" s="332"/>
      <c r="C156" s="332"/>
      <c r="D156" s="332"/>
      <c r="E156" s="400"/>
      <c r="F156" s="124"/>
      <c r="G156" s="419"/>
      <c r="H156" s="419"/>
      <c r="I156" s="419"/>
      <c r="J156" s="419"/>
      <c r="K156" s="419"/>
      <c r="L156" s="419"/>
      <c r="M156" s="419"/>
      <c r="N156" s="419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324"/>
      <c r="AD156" s="74"/>
      <c r="AE156" s="127"/>
      <c r="AF156" s="196"/>
      <c r="AG156" s="189"/>
      <c r="AH156" s="188"/>
      <c r="AI156" s="188"/>
      <c r="AJ156" s="189"/>
      <c r="AK156" s="188"/>
      <c r="AL156" s="188"/>
      <c r="AM156" s="183"/>
      <c r="AN156" s="183"/>
      <c r="AO156" s="183"/>
      <c r="AP156" s="183"/>
      <c r="AQ156" s="273"/>
    </row>
    <row r="157" spans="1:43" x14ac:dyDescent="0.25">
      <c r="A157" s="402"/>
      <c r="B157" s="332"/>
      <c r="C157" s="332"/>
      <c r="D157" s="332"/>
      <c r="E157" s="403" t="s">
        <v>37</v>
      </c>
      <c r="F157" s="420" t="s">
        <v>46</v>
      </c>
      <c r="G157" s="419"/>
      <c r="H157" s="419"/>
      <c r="I157" s="419"/>
      <c r="J157" s="419"/>
      <c r="K157" s="419"/>
      <c r="L157" s="419"/>
      <c r="M157" s="419"/>
      <c r="N157" s="419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324"/>
      <c r="AD157" s="34">
        <f>SUM(AD158:AD160)</f>
        <v>19350000</v>
      </c>
      <c r="AE157" s="63">
        <f>(AD157/AD$13)*100</f>
        <v>0.14664651533870449</v>
      </c>
      <c r="AF157" s="196"/>
      <c r="AG157" s="189"/>
      <c r="AH157" s="188"/>
      <c r="AI157" s="188"/>
      <c r="AJ157" s="189"/>
      <c r="AK157" s="188"/>
      <c r="AL157" s="188"/>
      <c r="AM157" s="183"/>
      <c r="AN157" s="183"/>
      <c r="AO157" s="183"/>
      <c r="AP157" s="183"/>
      <c r="AQ157" s="273"/>
    </row>
    <row r="158" spans="1:43" x14ac:dyDescent="0.25">
      <c r="A158" s="402"/>
      <c r="B158" s="332"/>
      <c r="C158" s="332"/>
      <c r="D158" s="332"/>
      <c r="E158" s="400"/>
      <c r="F158" s="124" t="s">
        <v>251</v>
      </c>
      <c r="G158" s="419"/>
      <c r="H158" s="419"/>
      <c r="I158" s="419"/>
      <c r="J158" s="419"/>
      <c r="K158" s="419"/>
      <c r="L158" s="419"/>
      <c r="M158" s="419"/>
      <c r="N158" s="419"/>
      <c r="O158" s="419"/>
      <c r="P158" s="419"/>
      <c r="Q158" s="419"/>
      <c r="R158" s="419"/>
      <c r="S158" s="419"/>
      <c r="T158" s="419"/>
      <c r="U158" s="419"/>
      <c r="V158" s="419"/>
      <c r="W158" s="419"/>
      <c r="X158" s="419"/>
      <c r="Y158" s="419"/>
      <c r="Z158" s="419"/>
      <c r="AA158" s="419"/>
      <c r="AB158" s="419"/>
      <c r="AC158" s="324"/>
      <c r="AD158" s="74">
        <v>12000000</v>
      </c>
      <c r="AE158" s="63">
        <f>(AD158/AD$13)*100</f>
        <v>9.0943575403847732E-2</v>
      </c>
      <c r="AF158" s="196">
        <f>+AD158/12</f>
        <v>1000000</v>
      </c>
      <c r="AG158" s="189">
        <f>+AF158</f>
        <v>1000000</v>
      </c>
      <c r="AH158" s="189">
        <f t="shared" ref="AH158:AQ160" si="17">+AG158</f>
        <v>1000000</v>
      </c>
      <c r="AI158" s="189">
        <f t="shared" si="17"/>
        <v>1000000</v>
      </c>
      <c r="AJ158" s="189">
        <f t="shared" si="17"/>
        <v>1000000</v>
      </c>
      <c r="AK158" s="189">
        <f t="shared" si="17"/>
        <v>1000000</v>
      </c>
      <c r="AL158" s="189">
        <f t="shared" si="17"/>
        <v>1000000</v>
      </c>
      <c r="AM158" s="189">
        <f t="shared" si="17"/>
        <v>1000000</v>
      </c>
      <c r="AN158" s="189">
        <f t="shared" si="17"/>
        <v>1000000</v>
      </c>
      <c r="AO158" s="189">
        <f t="shared" si="17"/>
        <v>1000000</v>
      </c>
      <c r="AP158" s="189">
        <f t="shared" si="17"/>
        <v>1000000</v>
      </c>
      <c r="AQ158" s="282">
        <f t="shared" si="17"/>
        <v>1000000</v>
      </c>
    </row>
    <row r="159" spans="1:43" x14ac:dyDescent="0.25">
      <c r="A159" s="402"/>
      <c r="B159" s="332"/>
      <c r="C159" s="332"/>
      <c r="D159" s="332"/>
      <c r="E159" s="400"/>
      <c r="F159" s="124" t="s">
        <v>252</v>
      </c>
      <c r="G159" s="419"/>
      <c r="H159" s="419"/>
      <c r="I159" s="419"/>
      <c r="J159" s="419"/>
      <c r="K159" s="419"/>
      <c r="L159" s="419"/>
      <c r="M159" s="419"/>
      <c r="N159" s="419"/>
      <c r="O159" s="419"/>
      <c r="P159" s="419"/>
      <c r="Q159" s="419"/>
      <c r="R159" s="419"/>
      <c r="S159" s="419"/>
      <c r="T159" s="419"/>
      <c r="U159" s="419"/>
      <c r="V159" s="419"/>
      <c r="W159" s="419"/>
      <c r="X159" s="419"/>
      <c r="Y159" s="419"/>
      <c r="Z159" s="419"/>
      <c r="AA159" s="419"/>
      <c r="AB159" s="419"/>
      <c r="AC159" s="324"/>
      <c r="AD159" s="74">
        <v>1350000</v>
      </c>
      <c r="AE159" s="63">
        <f>(AD159/AD$13)*100</f>
        <v>1.0231152232932871E-2</v>
      </c>
      <c r="AF159" s="196"/>
      <c r="AG159" s="189"/>
      <c r="AH159" s="188"/>
      <c r="AI159" s="188">
        <f>+AD159/6</f>
        <v>225000</v>
      </c>
      <c r="AJ159" s="189">
        <f>+AI159</f>
        <v>225000</v>
      </c>
      <c r="AK159" s="189">
        <f t="shared" si="17"/>
        <v>225000</v>
      </c>
      <c r="AL159" s="189">
        <f t="shared" si="17"/>
        <v>225000</v>
      </c>
      <c r="AM159" s="189">
        <f t="shared" si="17"/>
        <v>225000</v>
      </c>
      <c r="AN159" s="189">
        <f t="shared" si="17"/>
        <v>225000</v>
      </c>
      <c r="AO159" s="183"/>
      <c r="AP159" s="183"/>
      <c r="AQ159" s="273"/>
    </row>
    <row r="160" spans="1:43" x14ac:dyDescent="0.25">
      <c r="A160" s="402"/>
      <c r="B160" s="332"/>
      <c r="C160" s="332"/>
      <c r="D160" s="332"/>
      <c r="E160" s="400"/>
      <c r="F160" s="124" t="s">
        <v>253</v>
      </c>
      <c r="G160" s="419"/>
      <c r="H160" s="419"/>
      <c r="I160" s="419"/>
      <c r="J160" s="419"/>
      <c r="K160" s="419"/>
      <c r="L160" s="419"/>
      <c r="M160" s="419"/>
      <c r="N160" s="419"/>
      <c r="O160" s="419"/>
      <c r="P160" s="419"/>
      <c r="Q160" s="419"/>
      <c r="R160" s="419"/>
      <c r="S160" s="419"/>
      <c r="T160" s="419"/>
      <c r="U160" s="419"/>
      <c r="V160" s="419"/>
      <c r="W160" s="419"/>
      <c r="X160" s="419"/>
      <c r="Y160" s="419"/>
      <c r="Z160" s="419"/>
      <c r="AA160" s="419"/>
      <c r="AB160" s="419"/>
      <c r="AC160" s="324"/>
      <c r="AD160" s="74">
        <v>6000000</v>
      </c>
      <c r="AE160" s="63">
        <f>(AD160/AD$13)*100</f>
        <v>4.5471787701923866E-2</v>
      </c>
      <c r="AF160" s="196"/>
      <c r="AG160" s="189"/>
      <c r="AH160" s="188"/>
      <c r="AI160" s="188">
        <f>+AD160/6</f>
        <v>1000000</v>
      </c>
      <c r="AJ160" s="189">
        <f>+AI160</f>
        <v>1000000</v>
      </c>
      <c r="AK160" s="189">
        <f t="shared" si="17"/>
        <v>1000000</v>
      </c>
      <c r="AL160" s="189">
        <f t="shared" si="17"/>
        <v>1000000</v>
      </c>
      <c r="AM160" s="189">
        <f t="shared" si="17"/>
        <v>1000000</v>
      </c>
      <c r="AN160" s="189">
        <f t="shared" si="17"/>
        <v>1000000</v>
      </c>
      <c r="AO160" s="183"/>
      <c r="AP160" s="183"/>
      <c r="AQ160" s="273"/>
    </row>
    <row r="161" spans="1:43" x14ac:dyDescent="0.25">
      <c r="A161" s="402"/>
      <c r="B161" s="332"/>
      <c r="C161" s="332"/>
      <c r="D161" s="332"/>
      <c r="E161" s="400"/>
      <c r="F161" s="124"/>
      <c r="G161" s="419"/>
      <c r="H161" s="419"/>
      <c r="I161" s="419"/>
      <c r="J161" s="419"/>
      <c r="K161" s="419"/>
      <c r="L161" s="419"/>
      <c r="M161" s="419"/>
      <c r="N161" s="419"/>
      <c r="O161" s="419"/>
      <c r="P161" s="419"/>
      <c r="Q161" s="419"/>
      <c r="R161" s="419"/>
      <c r="S161" s="419"/>
      <c r="T161" s="419"/>
      <c r="U161" s="419"/>
      <c r="V161" s="419"/>
      <c r="W161" s="419"/>
      <c r="X161" s="419"/>
      <c r="Y161" s="419"/>
      <c r="Z161" s="419"/>
      <c r="AA161" s="419"/>
      <c r="AB161" s="419"/>
      <c r="AC161" s="324"/>
      <c r="AD161" s="74"/>
      <c r="AE161" s="127"/>
      <c r="AF161" s="196"/>
      <c r="AG161" s="189"/>
      <c r="AH161" s="188"/>
      <c r="AI161" s="188"/>
      <c r="AJ161" s="189"/>
      <c r="AK161" s="188"/>
      <c r="AL161" s="188"/>
      <c r="AM161" s="183"/>
      <c r="AN161" s="183"/>
      <c r="AO161" s="183"/>
      <c r="AP161" s="183"/>
      <c r="AQ161" s="273"/>
    </row>
    <row r="162" spans="1:43" x14ac:dyDescent="0.25">
      <c r="A162" s="402"/>
      <c r="B162" s="332"/>
      <c r="C162" s="332"/>
      <c r="D162" s="332"/>
      <c r="E162" s="403" t="s">
        <v>37</v>
      </c>
      <c r="F162" s="420" t="s">
        <v>254</v>
      </c>
      <c r="G162" s="419"/>
      <c r="H162" s="419"/>
      <c r="I162" s="419"/>
      <c r="J162" s="419"/>
      <c r="K162" s="419"/>
      <c r="L162" s="419"/>
      <c r="M162" s="419"/>
      <c r="N162" s="419"/>
      <c r="O162" s="419"/>
      <c r="P162" s="419"/>
      <c r="Q162" s="419"/>
      <c r="R162" s="419"/>
      <c r="S162" s="419"/>
      <c r="T162" s="419"/>
      <c r="U162" s="419"/>
      <c r="V162" s="419"/>
      <c r="W162" s="419"/>
      <c r="X162" s="419"/>
      <c r="Y162" s="419"/>
      <c r="Z162" s="419"/>
      <c r="AA162" s="419"/>
      <c r="AB162" s="419"/>
      <c r="AC162" s="324"/>
      <c r="AD162" s="34">
        <f>SUM(AD163:AD164)</f>
        <v>1200000</v>
      </c>
      <c r="AE162" s="63">
        <f>(AD162/AD$13)*100</f>
        <v>9.0943575403847742E-3</v>
      </c>
      <c r="AF162" s="196"/>
      <c r="AG162" s="189"/>
      <c r="AH162" s="188"/>
      <c r="AI162" s="188"/>
      <c r="AJ162" s="189"/>
      <c r="AK162" s="188"/>
      <c r="AL162" s="188"/>
      <c r="AM162" s="183"/>
      <c r="AN162" s="183"/>
      <c r="AO162" s="183"/>
      <c r="AP162" s="183"/>
      <c r="AQ162" s="273"/>
    </row>
    <row r="163" spans="1:43" x14ac:dyDescent="0.25">
      <c r="A163" s="402"/>
      <c r="B163" s="332"/>
      <c r="C163" s="332"/>
      <c r="D163" s="332"/>
      <c r="E163" s="403"/>
      <c r="F163" s="124" t="s">
        <v>256</v>
      </c>
      <c r="G163" s="419"/>
      <c r="H163" s="419"/>
      <c r="I163" s="419"/>
      <c r="J163" s="419"/>
      <c r="K163" s="419"/>
      <c r="L163" s="419"/>
      <c r="M163" s="419"/>
      <c r="N163" s="419"/>
      <c r="O163" s="419"/>
      <c r="P163" s="419"/>
      <c r="Q163" s="419"/>
      <c r="R163" s="419"/>
      <c r="S163" s="419"/>
      <c r="T163" s="419"/>
      <c r="U163" s="419"/>
      <c r="V163" s="419"/>
      <c r="W163" s="419"/>
      <c r="X163" s="310" t="s">
        <v>264</v>
      </c>
      <c r="Y163" s="309"/>
      <c r="Z163" s="309"/>
      <c r="AA163" s="309"/>
      <c r="AB163" s="309"/>
      <c r="AC163" s="324"/>
      <c r="AD163" s="74">
        <v>0</v>
      </c>
      <c r="AE163" s="127">
        <f>(AD163/AD$11)*100</f>
        <v>0</v>
      </c>
      <c r="AF163" s="196"/>
      <c r="AG163" s="189"/>
      <c r="AH163" s="188"/>
      <c r="AI163" s="188"/>
      <c r="AJ163" s="189"/>
      <c r="AK163" s="188"/>
      <c r="AL163" s="188"/>
      <c r="AM163" s="183"/>
      <c r="AN163" s="183"/>
      <c r="AO163" s="183"/>
      <c r="AP163" s="183"/>
      <c r="AQ163" s="273"/>
    </row>
    <row r="164" spans="1:43" x14ac:dyDescent="0.25">
      <c r="A164" s="402"/>
      <c r="B164" s="332"/>
      <c r="C164" s="332"/>
      <c r="D164" s="332"/>
      <c r="E164" s="400"/>
      <c r="F164" s="124" t="s">
        <v>255</v>
      </c>
      <c r="G164" s="419"/>
      <c r="H164" s="419"/>
      <c r="I164" s="419"/>
      <c r="J164" s="419"/>
      <c r="K164" s="419"/>
      <c r="L164" s="419"/>
      <c r="M164" s="419"/>
      <c r="N164" s="419"/>
      <c r="O164" s="419"/>
      <c r="P164" s="419"/>
      <c r="Q164" s="419"/>
      <c r="R164" s="419"/>
      <c r="S164" s="419"/>
      <c r="T164" s="419"/>
      <c r="U164" s="419"/>
      <c r="V164" s="419"/>
      <c r="W164" s="419"/>
      <c r="X164" s="419"/>
      <c r="Y164" s="419"/>
      <c r="Z164" s="419"/>
      <c r="AA164" s="419"/>
      <c r="AB164" s="419"/>
      <c r="AC164" s="324"/>
      <c r="AD164" s="74">
        <v>1200000</v>
      </c>
      <c r="AE164" s="63">
        <f>(AD164/AD$13)*100</f>
        <v>9.0943575403847742E-3</v>
      </c>
      <c r="AF164" s="196"/>
      <c r="AG164" s="189"/>
      <c r="AH164" s="188"/>
      <c r="AI164" s="188"/>
      <c r="AJ164" s="189"/>
      <c r="AK164" s="188"/>
      <c r="AL164" s="188">
        <f>+AD164</f>
        <v>1200000</v>
      </c>
      <c r="AM164" s="183"/>
      <c r="AN164" s="183"/>
      <c r="AO164" s="183"/>
      <c r="AP164" s="183"/>
      <c r="AQ164" s="273"/>
    </row>
    <row r="165" spans="1:43" x14ac:dyDescent="0.25">
      <c r="A165" s="402"/>
      <c r="B165" s="332"/>
      <c r="C165" s="332"/>
      <c r="D165" s="332"/>
      <c r="E165" s="400"/>
      <c r="F165" s="124"/>
      <c r="G165" s="419"/>
      <c r="H165" s="419"/>
      <c r="I165" s="419"/>
      <c r="J165" s="419"/>
      <c r="K165" s="419"/>
      <c r="L165" s="419"/>
      <c r="M165" s="419"/>
      <c r="N165" s="419"/>
      <c r="O165" s="419"/>
      <c r="P165" s="419"/>
      <c r="Q165" s="419"/>
      <c r="R165" s="419"/>
      <c r="S165" s="419"/>
      <c r="T165" s="419"/>
      <c r="U165" s="419"/>
      <c r="V165" s="419"/>
      <c r="W165" s="419"/>
      <c r="X165" s="419"/>
      <c r="Y165" s="419"/>
      <c r="Z165" s="419"/>
      <c r="AA165" s="419"/>
      <c r="AB165" s="419"/>
      <c r="AC165" s="324"/>
      <c r="AD165" s="74"/>
      <c r="AE165" s="63">
        <f>(AD165/AD$13)*100</f>
        <v>0</v>
      </c>
      <c r="AF165" s="196"/>
      <c r="AG165" s="189"/>
      <c r="AH165" s="188"/>
      <c r="AI165" s="188"/>
      <c r="AJ165" s="189"/>
      <c r="AK165" s="188"/>
      <c r="AL165" s="188"/>
      <c r="AM165" s="183"/>
      <c r="AN165" s="183"/>
      <c r="AO165" s="183"/>
      <c r="AP165" s="183"/>
      <c r="AQ165" s="273"/>
    </row>
    <row r="166" spans="1:43" x14ac:dyDescent="0.25">
      <c r="A166" s="402"/>
      <c r="B166" s="332"/>
      <c r="C166" s="332"/>
      <c r="D166" s="332"/>
      <c r="E166" s="403" t="s">
        <v>37</v>
      </c>
      <c r="F166" s="420" t="s">
        <v>257</v>
      </c>
      <c r="G166" s="419"/>
      <c r="H166" s="419"/>
      <c r="I166" s="419"/>
      <c r="J166" s="419"/>
      <c r="K166" s="419"/>
      <c r="L166" s="419"/>
      <c r="M166" s="419"/>
      <c r="N166" s="419"/>
      <c r="O166" s="419"/>
      <c r="P166" s="419"/>
      <c r="Q166" s="419"/>
      <c r="R166" s="419"/>
      <c r="S166" s="419"/>
      <c r="T166" s="419"/>
      <c r="U166" s="419"/>
      <c r="V166" s="419"/>
      <c r="W166" s="419"/>
      <c r="X166" s="419"/>
      <c r="Y166" s="419"/>
      <c r="Z166" s="419"/>
      <c r="AA166" s="419"/>
      <c r="AB166" s="419"/>
      <c r="AC166" s="324"/>
      <c r="AD166" s="34">
        <f>+AD167</f>
        <v>3240000</v>
      </c>
      <c r="AE166" s="63">
        <f t="shared" ref="AE166:AE171" si="18">(AD166/AD$13)*100</f>
        <v>2.4554765359038888E-2</v>
      </c>
      <c r="AF166" s="196"/>
      <c r="AG166" s="189"/>
      <c r="AH166" s="188"/>
      <c r="AI166" s="188"/>
      <c r="AJ166" s="189"/>
      <c r="AK166" s="188"/>
      <c r="AL166" s="188"/>
      <c r="AM166" s="183"/>
      <c r="AN166" s="183"/>
      <c r="AO166" s="183"/>
      <c r="AP166" s="183"/>
      <c r="AQ166" s="273"/>
    </row>
    <row r="167" spans="1:43" x14ac:dyDescent="0.25">
      <c r="A167" s="402"/>
      <c r="B167" s="332"/>
      <c r="C167" s="332"/>
      <c r="D167" s="332"/>
      <c r="E167" s="400"/>
      <c r="F167" s="124" t="s">
        <v>259</v>
      </c>
      <c r="G167" s="323"/>
      <c r="H167" s="323"/>
      <c r="I167" s="323"/>
      <c r="J167" s="323"/>
      <c r="K167" s="323"/>
      <c r="L167" s="323"/>
      <c r="M167" s="323"/>
      <c r="N167" s="323"/>
      <c r="O167" s="323"/>
      <c r="P167" s="323"/>
      <c r="Q167" s="323"/>
      <c r="R167" s="323"/>
      <c r="S167" s="323"/>
      <c r="T167" s="323"/>
      <c r="U167" s="323"/>
      <c r="V167" s="323"/>
      <c r="W167" s="323"/>
      <c r="X167" s="323"/>
      <c r="Y167" s="323"/>
      <c r="Z167" s="323"/>
      <c r="AA167" s="323"/>
      <c r="AB167" s="323"/>
      <c r="AC167" s="324"/>
      <c r="AD167" s="74">
        <f>3240000</f>
        <v>3240000</v>
      </c>
      <c r="AE167" s="63">
        <f t="shared" si="18"/>
        <v>2.4554765359038888E-2</v>
      </c>
      <c r="AF167" s="196"/>
      <c r="AG167" s="189"/>
      <c r="AH167" s="188"/>
      <c r="AI167" s="188"/>
      <c r="AJ167" s="189">
        <f>+AD167</f>
        <v>3240000</v>
      </c>
      <c r="AK167" s="188"/>
      <c r="AL167" s="188"/>
      <c r="AM167" s="183"/>
      <c r="AN167" s="183"/>
      <c r="AO167" s="183"/>
      <c r="AP167" s="183"/>
      <c r="AQ167" s="273"/>
    </row>
    <row r="168" spans="1:43" x14ac:dyDescent="0.25">
      <c r="A168" s="402"/>
      <c r="B168" s="332"/>
      <c r="C168" s="332"/>
      <c r="D168" s="332"/>
      <c r="E168" s="403" t="s">
        <v>37</v>
      </c>
      <c r="F168" s="420" t="s">
        <v>260</v>
      </c>
      <c r="G168" s="419"/>
      <c r="H168" s="419"/>
      <c r="I168" s="419"/>
      <c r="J168" s="419"/>
      <c r="K168" s="419"/>
      <c r="L168" s="419"/>
      <c r="M168" s="419"/>
      <c r="N168" s="419"/>
      <c r="O168" s="419"/>
      <c r="P168" s="419"/>
      <c r="Q168" s="419"/>
      <c r="R168" s="419"/>
      <c r="S168" s="419"/>
      <c r="T168" s="419"/>
      <c r="U168" s="419"/>
      <c r="V168" s="419"/>
      <c r="W168" s="419"/>
      <c r="X168" s="419"/>
      <c r="Y168" s="419"/>
      <c r="Z168" s="419"/>
      <c r="AA168" s="419"/>
      <c r="AB168" s="419"/>
      <c r="AC168" s="324"/>
      <c r="AD168" s="34">
        <f>+AD169</f>
        <v>4050000</v>
      </c>
      <c r="AE168" s="63">
        <f t="shared" si="18"/>
        <v>3.069345669879861E-2</v>
      </c>
      <c r="AF168" s="196"/>
      <c r="AG168" s="189"/>
      <c r="AH168" s="188"/>
      <c r="AI168" s="188"/>
      <c r="AJ168" s="189"/>
      <c r="AK168" s="188"/>
      <c r="AL168" s="188"/>
      <c r="AM168" s="183"/>
      <c r="AN168" s="183"/>
      <c r="AO168" s="183"/>
      <c r="AP168" s="183"/>
      <c r="AQ168" s="273"/>
    </row>
    <row r="169" spans="1:43" x14ac:dyDescent="0.25">
      <c r="A169" s="402"/>
      <c r="B169" s="332"/>
      <c r="C169" s="332"/>
      <c r="D169" s="332"/>
      <c r="E169" s="400"/>
      <c r="F169" s="124" t="s">
        <v>258</v>
      </c>
      <c r="G169" s="323"/>
      <c r="H169" s="323"/>
      <c r="I169" s="323"/>
      <c r="J169" s="323"/>
      <c r="K169" s="323"/>
      <c r="L169" s="323"/>
      <c r="M169" s="323"/>
      <c r="N169" s="323"/>
      <c r="O169" s="323"/>
      <c r="P169" s="323"/>
      <c r="Q169" s="323"/>
      <c r="R169" s="323"/>
      <c r="S169" s="323"/>
      <c r="T169" s="323"/>
      <c r="U169" s="323"/>
      <c r="V169" s="323"/>
      <c r="W169" s="323"/>
      <c r="X169" s="323"/>
      <c r="Y169" s="323"/>
      <c r="Z169" s="323"/>
      <c r="AA169" s="323"/>
      <c r="AB169" s="323"/>
      <c r="AC169" s="324"/>
      <c r="AD169" s="74">
        <v>4050000</v>
      </c>
      <c r="AE169" s="63">
        <f t="shared" si="18"/>
        <v>3.069345669879861E-2</v>
      </c>
      <c r="AF169" s="196"/>
      <c r="AG169" s="189"/>
      <c r="AH169" s="188"/>
      <c r="AI169" s="188"/>
      <c r="AJ169" s="189"/>
      <c r="AK169" s="188"/>
      <c r="AL169" s="188"/>
      <c r="AM169" s="183"/>
      <c r="AN169" s="183">
        <f>+AD169</f>
        <v>4050000</v>
      </c>
      <c r="AO169" s="183"/>
      <c r="AP169" s="183"/>
      <c r="AQ169" s="273"/>
    </row>
    <row r="170" spans="1:43" x14ac:dyDescent="0.25">
      <c r="A170" s="402"/>
      <c r="B170" s="332"/>
      <c r="C170" s="332"/>
      <c r="D170" s="332"/>
      <c r="E170" s="400"/>
      <c r="F170" s="420" t="s">
        <v>261</v>
      </c>
      <c r="G170" s="323"/>
      <c r="H170" s="323"/>
      <c r="I170" s="323"/>
      <c r="J170" s="323"/>
      <c r="K170" s="323"/>
      <c r="L170" s="323"/>
      <c r="M170" s="323"/>
      <c r="N170" s="323"/>
      <c r="O170" s="323"/>
      <c r="P170" s="323"/>
      <c r="Q170" s="323"/>
      <c r="R170" s="323"/>
      <c r="S170" s="323"/>
      <c r="T170" s="323"/>
      <c r="U170" s="323"/>
      <c r="V170" s="323"/>
      <c r="W170" s="323"/>
      <c r="X170" s="323"/>
      <c r="Y170" s="323"/>
      <c r="Z170" s="323"/>
      <c r="AA170" s="323"/>
      <c r="AB170" s="323"/>
      <c r="AC170" s="324"/>
      <c r="AD170" s="34">
        <f>+AD171</f>
        <v>350000</v>
      </c>
      <c r="AE170" s="63">
        <f t="shared" si="18"/>
        <v>2.6525209492788923E-3</v>
      </c>
      <c r="AF170" s="196"/>
      <c r="AG170" s="189"/>
      <c r="AH170" s="188"/>
      <c r="AI170" s="188"/>
      <c r="AJ170" s="189"/>
      <c r="AK170" s="188"/>
      <c r="AL170" s="188"/>
      <c r="AM170" s="183"/>
      <c r="AN170" s="183"/>
      <c r="AO170" s="183"/>
      <c r="AP170" s="183"/>
      <c r="AQ170" s="273"/>
    </row>
    <row r="171" spans="1:43" x14ac:dyDescent="0.25">
      <c r="A171" s="402"/>
      <c r="B171" s="332"/>
      <c r="C171" s="332"/>
      <c r="D171" s="333"/>
      <c r="E171" s="400"/>
      <c r="F171" s="124" t="s">
        <v>262</v>
      </c>
      <c r="G171" s="323"/>
      <c r="H171" s="323"/>
      <c r="I171" s="323"/>
      <c r="J171" s="323"/>
      <c r="K171" s="323"/>
      <c r="L171" s="323"/>
      <c r="M171" s="75"/>
      <c r="N171" s="134" t="s">
        <v>263</v>
      </c>
      <c r="O171" s="134"/>
      <c r="P171" s="134"/>
      <c r="Q171" s="134"/>
      <c r="R171" s="134"/>
      <c r="S171" s="134"/>
      <c r="T171" s="75"/>
      <c r="U171" s="75"/>
      <c r="V171" s="75"/>
      <c r="W171" s="75"/>
      <c r="X171" s="75"/>
      <c r="Y171" s="75"/>
      <c r="Z171" s="75"/>
      <c r="AA171" s="75"/>
      <c r="AB171" s="75"/>
      <c r="AC171" s="86"/>
      <c r="AD171" s="74">
        <v>350000</v>
      </c>
      <c r="AE171" s="63">
        <f t="shared" si="18"/>
        <v>2.6525209492788923E-3</v>
      </c>
      <c r="AF171" s="196"/>
      <c r="AG171" s="189"/>
      <c r="AH171" s="188"/>
      <c r="AI171" s="188"/>
      <c r="AJ171" s="189"/>
      <c r="AK171" s="188">
        <f>+AD171</f>
        <v>350000</v>
      </c>
      <c r="AL171" s="188"/>
      <c r="AM171" s="183"/>
      <c r="AN171" s="183"/>
      <c r="AO171" s="183"/>
      <c r="AP171" s="183"/>
      <c r="AQ171" s="273"/>
    </row>
    <row r="172" spans="1:43" x14ac:dyDescent="0.25">
      <c r="A172" s="402"/>
      <c r="B172" s="332"/>
      <c r="C172" s="332"/>
      <c r="D172" s="333"/>
      <c r="E172" s="400"/>
      <c r="F172" s="124"/>
      <c r="G172" s="323"/>
      <c r="H172" s="323"/>
      <c r="I172" s="323"/>
      <c r="J172" s="323"/>
      <c r="K172" s="323"/>
      <c r="L172" s="323"/>
      <c r="M172" s="323"/>
      <c r="N172" s="323"/>
      <c r="O172" s="323"/>
      <c r="P172" s="323"/>
      <c r="Q172" s="323"/>
      <c r="R172" s="323"/>
      <c r="S172" s="323"/>
      <c r="T172" s="323"/>
      <c r="U172" s="323"/>
      <c r="V172" s="323"/>
      <c r="W172" s="323"/>
      <c r="X172" s="323"/>
      <c r="Y172" s="323"/>
      <c r="Z172" s="323"/>
      <c r="AA172" s="75"/>
      <c r="AB172" s="75"/>
      <c r="AC172" s="86"/>
      <c r="AD172" s="74"/>
      <c r="AE172" s="127"/>
      <c r="AF172" s="308"/>
      <c r="AG172" s="189"/>
      <c r="AH172" s="188"/>
      <c r="AI172" s="188"/>
      <c r="AJ172" s="189"/>
      <c r="AK172" s="188"/>
      <c r="AL172" s="188"/>
      <c r="AM172" s="183"/>
      <c r="AN172" s="183"/>
      <c r="AO172" s="183"/>
      <c r="AP172" s="183"/>
      <c r="AQ172" s="273"/>
    </row>
    <row r="173" spans="1:43" x14ac:dyDescent="0.25">
      <c r="A173" s="402"/>
      <c r="B173" s="332"/>
      <c r="C173" s="332"/>
      <c r="D173" s="333"/>
      <c r="E173" s="403" t="s">
        <v>37</v>
      </c>
      <c r="F173" s="73" t="s">
        <v>38</v>
      </c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86"/>
      <c r="AD173" s="34">
        <v>6707000</v>
      </c>
      <c r="AE173" s="63">
        <f>(AD173/AD$13)*100</f>
        <v>5.0829880019467227E-2</v>
      </c>
      <c r="AF173" s="189">
        <v>2250000</v>
      </c>
      <c r="AG173" s="189"/>
      <c r="AH173" s="188"/>
      <c r="AI173" s="189">
        <f>+AF173</f>
        <v>2250000</v>
      </c>
      <c r="AJ173" s="188"/>
      <c r="AK173" s="188"/>
      <c r="AL173" s="183"/>
      <c r="AM173" s="183">
        <f>+AD173-AI173-AF173</f>
        <v>2207000</v>
      </c>
      <c r="AN173" s="72"/>
      <c r="AO173" s="183"/>
      <c r="AP173" s="183"/>
      <c r="AQ173" s="273"/>
    </row>
    <row r="174" spans="1:43" x14ac:dyDescent="0.25">
      <c r="A174" s="402"/>
      <c r="B174" s="332"/>
      <c r="C174" s="332"/>
      <c r="D174" s="333"/>
      <c r="E174" s="403"/>
      <c r="F174" s="420"/>
      <c r="G174" s="421"/>
      <c r="H174" s="421"/>
      <c r="I174" s="421"/>
      <c r="J174" s="421"/>
      <c r="K174" s="421"/>
      <c r="L174" s="421"/>
      <c r="M174" s="421"/>
      <c r="N174" s="421"/>
      <c r="O174" s="421"/>
      <c r="P174" s="421"/>
      <c r="Q174" s="421"/>
      <c r="R174" s="421"/>
      <c r="S174" s="421"/>
      <c r="T174" s="421"/>
      <c r="U174" s="421"/>
      <c r="V174" s="421"/>
      <c r="W174" s="421"/>
      <c r="X174" s="421"/>
      <c r="Y174" s="421"/>
      <c r="Z174" s="421"/>
      <c r="AA174" s="421"/>
      <c r="AB174" s="421"/>
      <c r="AC174" s="422"/>
      <c r="AD174" s="74"/>
      <c r="AE174" s="127"/>
      <c r="AF174" s="196"/>
      <c r="AG174" s="189"/>
      <c r="AH174" s="188"/>
      <c r="AI174" s="188"/>
      <c r="AJ174" s="189"/>
      <c r="AK174" s="188"/>
      <c r="AL174" s="188"/>
      <c r="AM174" s="183"/>
      <c r="AN174" s="183"/>
      <c r="AO174" s="183"/>
      <c r="AP174" s="183"/>
      <c r="AQ174" s="273"/>
    </row>
    <row r="175" spans="1:43" x14ac:dyDescent="0.25">
      <c r="A175" s="402"/>
      <c r="B175" s="332"/>
      <c r="C175" s="332"/>
      <c r="D175" s="332"/>
      <c r="E175" s="403" t="s">
        <v>37</v>
      </c>
      <c r="F175" s="73" t="s">
        <v>130</v>
      </c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86"/>
      <c r="AD175" s="34">
        <v>1500000</v>
      </c>
      <c r="AE175" s="63">
        <f>(AD175/AD$13)*100</f>
        <v>1.1367946925480966E-2</v>
      </c>
      <c r="AF175" s="196"/>
      <c r="AG175" s="189"/>
      <c r="AH175" s="188">
        <f>+AD175/3</f>
        <v>500000</v>
      </c>
      <c r="AI175" s="188"/>
      <c r="AJ175" s="189"/>
      <c r="AK175" s="188">
        <f>+AH175</f>
        <v>500000</v>
      </c>
      <c r="AL175" s="188"/>
      <c r="AM175" s="183"/>
      <c r="AN175" s="183">
        <f>+AK175</f>
        <v>500000</v>
      </c>
      <c r="AO175" s="183"/>
      <c r="AP175" s="183"/>
      <c r="AQ175" s="273"/>
    </row>
    <row r="176" spans="1:43" x14ac:dyDescent="0.25">
      <c r="A176" s="402"/>
      <c r="B176" s="332"/>
      <c r="C176" s="332"/>
      <c r="D176" s="332"/>
      <c r="E176" s="400"/>
      <c r="F176" s="420"/>
      <c r="G176" s="421"/>
      <c r="H176" s="421"/>
      <c r="I176" s="421"/>
      <c r="J176" s="421"/>
      <c r="K176" s="421"/>
      <c r="L176" s="421"/>
      <c r="M176" s="421"/>
      <c r="N176" s="421"/>
      <c r="O176" s="421"/>
      <c r="P176" s="421"/>
      <c r="Q176" s="421"/>
      <c r="R176" s="421"/>
      <c r="S176" s="421"/>
      <c r="T176" s="421"/>
      <c r="U176" s="421"/>
      <c r="V176" s="421"/>
      <c r="W176" s="421"/>
      <c r="X176" s="421"/>
      <c r="Y176" s="421"/>
      <c r="Z176" s="421"/>
      <c r="AA176" s="421"/>
      <c r="AB176" s="421"/>
      <c r="AC176" s="422"/>
      <c r="AD176" s="74"/>
      <c r="AE176" s="127"/>
      <c r="AF176" s="196"/>
      <c r="AG176" s="189"/>
      <c r="AH176" s="188"/>
      <c r="AI176" s="188"/>
      <c r="AJ176" s="189"/>
      <c r="AK176" s="188"/>
      <c r="AL176" s="188"/>
      <c r="AM176" s="183"/>
      <c r="AN176" s="183"/>
      <c r="AO176" s="183"/>
      <c r="AP176" s="183"/>
      <c r="AQ176" s="273"/>
    </row>
    <row r="177" spans="1:43" x14ac:dyDescent="0.25">
      <c r="A177" s="402"/>
      <c r="B177" s="332"/>
      <c r="C177" s="332"/>
      <c r="D177" s="333"/>
      <c r="E177" s="403" t="s">
        <v>37</v>
      </c>
      <c r="F177" s="73" t="s">
        <v>88</v>
      </c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86"/>
      <c r="AD177" s="34">
        <v>25000000</v>
      </c>
      <c r="AE177" s="63">
        <f>(AD177/AD$13)*100</f>
        <v>0.18946578209134946</v>
      </c>
      <c r="AF177" s="196"/>
      <c r="AG177" s="189"/>
      <c r="AH177" s="188">
        <v>8500000</v>
      </c>
      <c r="AI177" s="188"/>
      <c r="AJ177" s="189"/>
      <c r="AK177" s="188">
        <f>+AH177</f>
        <v>8500000</v>
      </c>
      <c r="AL177" s="188"/>
      <c r="AM177" s="183"/>
      <c r="AN177" s="183">
        <f>+AD177-AH177-AK177</f>
        <v>8000000</v>
      </c>
      <c r="AO177" s="183"/>
      <c r="AP177" s="183"/>
      <c r="AQ177" s="273"/>
    </row>
    <row r="178" spans="1:43" x14ac:dyDescent="0.25">
      <c r="A178" s="402"/>
      <c r="B178" s="332"/>
      <c r="C178" s="332"/>
      <c r="D178" s="333"/>
      <c r="E178" s="403"/>
      <c r="F178" s="73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19"/>
      <c r="AC178" s="31"/>
      <c r="AD178" s="74"/>
      <c r="AE178" s="129"/>
      <c r="AF178" s="196"/>
      <c r="AG178" s="189"/>
      <c r="AH178" s="188"/>
      <c r="AI178" s="188"/>
      <c r="AJ178" s="189"/>
      <c r="AK178" s="188"/>
      <c r="AL178" s="188"/>
      <c r="AM178" s="183"/>
      <c r="AN178" s="183"/>
      <c r="AO178" s="183"/>
      <c r="AP178" s="183"/>
      <c r="AQ178" s="273"/>
    </row>
    <row r="179" spans="1:43" x14ac:dyDescent="0.25">
      <c r="A179" s="402"/>
      <c r="B179" s="332"/>
      <c r="C179" s="332"/>
      <c r="D179" s="332"/>
      <c r="E179" s="403" t="s">
        <v>37</v>
      </c>
      <c r="F179" s="73" t="s">
        <v>133</v>
      </c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86"/>
      <c r="AD179" s="34">
        <f>+AD180+AD181</f>
        <v>38355000</v>
      </c>
      <c r="AE179" s="63">
        <f>(AD179/AD$13)*100</f>
        <v>0.29067840288454833</v>
      </c>
      <c r="AF179" s="196"/>
      <c r="AG179" s="189"/>
      <c r="AH179" s="188"/>
      <c r="AI179" s="188"/>
      <c r="AJ179" s="189"/>
      <c r="AK179" s="188"/>
      <c r="AL179" s="188"/>
      <c r="AM179" s="183"/>
      <c r="AN179" s="183"/>
      <c r="AO179" s="183"/>
      <c r="AP179" s="183"/>
      <c r="AQ179" s="273"/>
    </row>
    <row r="180" spans="1:43" x14ac:dyDescent="0.25">
      <c r="A180" s="402"/>
      <c r="B180" s="332"/>
      <c r="C180" s="332"/>
      <c r="D180" s="332"/>
      <c r="E180" s="403"/>
      <c r="F180" s="73" t="s">
        <v>132</v>
      </c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86"/>
      <c r="AD180" s="74">
        <v>38355000</v>
      </c>
      <c r="AE180" s="63">
        <f>(AD180/AD$13)*100</f>
        <v>0.29067840288454833</v>
      </c>
      <c r="AF180" s="196"/>
      <c r="AG180" s="189">
        <f>+AD180/10</f>
        <v>3835500</v>
      </c>
      <c r="AH180" s="188">
        <f>+AG180</f>
        <v>3835500</v>
      </c>
      <c r="AI180" s="188">
        <f t="shared" ref="AI180:AP180" si="19">+AH180</f>
        <v>3835500</v>
      </c>
      <c r="AJ180" s="188">
        <f t="shared" si="19"/>
        <v>3835500</v>
      </c>
      <c r="AK180" s="188">
        <f t="shared" si="19"/>
        <v>3835500</v>
      </c>
      <c r="AL180" s="188">
        <f t="shared" si="19"/>
        <v>3835500</v>
      </c>
      <c r="AM180" s="188">
        <f t="shared" si="19"/>
        <v>3835500</v>
      </c>
      <c r="AN180" s="188">
        <f t="shared" si="19"/>
        <v>3835500</v>
      </c>
      <c r="AO180" s="188">
        <f t="shared" si="19"/>
        <v>3835500</v>
      </c>
      <c r="AP180" s="188">
        <f t="shared" si="19"/>
        <v>3835500</v>
      </c>
      <c r="AQ180" s="273"/>
    </row>
    <row r="181" spans="1:43" ht="13.8" thickBot="1" x14ac:dyDescent="0.3">
      <c r="A181" s="402"/>
      <c r="B181" s="332"/>
      <c r="C181" s="332"/>
      <c r="D181" s="332"/>
      <c r="E181" s="403"/>
      <c r="F181" s="73" t="s">
        <v>131</v>
      </c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86"/>
      <c r="AD181" s="74">
        <v>0</v>
      </c>
      <c r="AE181" s="127">
        <f>(AD181/AD$11)*100</f>
        <v>0</v>
      </c>
      <c r="AF181" s="196"/>
      <c r="AG181" s="189"/>
      <c r="AH181" s="188"/>
      <c r="AI181" s="188"/>
      <c r="AJ181" s="189"/>
      <c r="AK181" s="188"/>
      <c r="AL181" s="188"/>
      <c r="AM181" s="183"/>
      <c r="AN181" s="183"/>
      <c r="AO181" s="183"/>
      <c r="AP181" s="183"/>
      <c r="AQ181" s="273"/>
    </row>
    <row r="182" spans="1:43" ht="13.8" thickTop="1" x14ac:dyDescent="0.25">
      <c r="A182" s="407"/>
      <c r="B182" s="408"/>
      <c r="C182" s="408"/>
      <c r="D182" s="408"/>
      <c r="E182" s="409"/>
      <c r="F182" s="242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7"/>
      <c r="W182" s="237"/>
      <c r="X182" s="237"/>
      <c r="Y182" s="237"/>
      <c r="Z182" s="237"/>
      <c r="AA182" s="237"/>
      <c r="AB182" s="238"/>
      <c r="AC182" s="239"/>
      <c r="AD182" s="257">
        <f>SUM(AF182:AQ182)</f>
        <v>2824752000</v>
      </c>
      <c r="AE182" s="240"/>
      <c r="AF182" s="241">
        <f>SUM(AF138:AF181)</f>
        <v>3250000</v>
      </c>
      <c r="AG182" s="241">
        <f t="shared" ref="AG182:AQ182" si="20">SUM(AG138:AG181)</f>
        <v>4835500</v>
      </c>
      <c r="AH182" s="241">
        <f t="shared" si="20"/>
        <v>681335500</v>
      </c>
      <c r="AI182" s="241">
        <f t="shared" si="20"/>
        <v>734560500</v>
      </c>
      <c r="AJ182" s="241">
        <f t="shared" si="20"/>
        <v>840550500</v>
      </c>
      <c r="AK182" s="241">
        <f t="shared" si="20"/>
        <v>165410500</v>
      </c>
      <c r="AL182" s="241">
        <f t="shared" si="20"/>
        <v>164760500</v>
      </c>
      <c r="AM182" s="241">
        <f t="shared" si="20"/>
        <v>200767500</v>
      </c>
      <c r="AN182" s="241">
        <f t="shared" si="20"/>
        <v>18610500</v>
      </c>
      <c r="AO182" s="241">
        <f t="shared" si="20"/>
        <v>4835500</v>
      </c>
      <c r="AP182" s="241">
        <f t="shared" si="20"/>
        <v>4835500</v>
      </c>
      <c r="AQ182" s="278">
        <f t="shared" si="20"/>
        <v>1000000</v>
      </c>
    </row>
    <row r="183" spans="1:43" ht="13.8" thickBot="1" x14ac:dyDescent="0.3">
      <c r="A183" s="440"/>
      <c r="B183" s="441"/>
      <c r="C183" s="441"/>
      <c r="D183" s="441"/>
      <c r="E183" s="442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62"/>
      <c r="AC183" s="244"/>
      <c r="AD183" s="266" t="s">
        <v>225</v>
      </c>
      <c r="AE183" s="245"/>
      <c r="AF183" s="978">
        <f>+AF182+AG182+AH182</f>
        <v>689421000</v>
      </c>
      <c r="AG183" s="979"/>
      <c r="AH183" s="258"/>
      <c r="AI183" s="1007">
        <f>+AI182+AJ182+AK182</f>
        <v>1740521500</v>
      </c>
      <c r="AJ183" s="1008"/>
      <c r="AK183" s="259"/>
      <c r="AL183" s="1009">
        <f>+AL182+AM182+AN182</f>
        <v>384138500</v>
      </c>
      <c r="AM183" s="1010"/>
      <c r="AN183" s="260"/>
      <c r="AO183" s="976">
        <f>+AO182+AP182+AQ182</f>
        <v>10671000</v>
      </c>
      <c r="AP183" s="977"/>
      <c r="AQ183" s="283"/>
    </row>
    <row r="184" spans="1:43" x14ac:dyDescent="0.25">
      <c r="A184" s="329" t="s">
        <v>217</v>
      </c>
      <c r="B184" s="412"/>
      <c r="C184" s="412"/>
      <c r="D184" s="412"/>
      <c r="E184" s="413"/>
      <c r="F184" s="133"/>
      <c r="G184" s="134"/>
      <c r="H184" s="134" t="s">
        <v>340</v>
      </c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5"/>
      <c r="AC184" s="136"/>
      <c r="AD184" s="103">
        <f>+AD186</f>
        <v>446881650</v>
      </c>
      <c r="AE184" s="63">
        <f>(AD184/AD$13)*100</f>
        <v>3.3867512527809076</v>
      </c>
      <c r="AF184" s="198"/>
      <c r="AG184" s="200"/>
      <c r="AH184" s="199"/>
      <c r="AI184" s="199"/>
      <c r="AJ184" s="200"/>
      <c r="AK184" s="199"/>
      <c r="AL184" s="199"/>
      <c r="AM184" s="201"/>
      <c r="AN184" s="201"/>
      <c r="AO184" s="201"/>
      <c r="AP184" s="201"/>
      <c r="AQ184" s="284"/>
    </row>
    <row r="185" spans="1:43" x14ac:dyDescent="0.25">
      <c r="A185" s="328"/>
      <c r="B185" s="332"/>
      <c r="C185" s="332"/>
      <c r="D185" s="332"/>
      <c r="E185" s="400"/>
      <c r="F185" s="73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19"/>
      <c r="AC185" s="31"/>
      <c r="AD185" s="34"/>
      <c r="AE185" s="129"/>
      <c r="AF185" s="196"/>
      <c r="AG185" s="189"/>
      <c r="AH185" s="188"/>
      <c r="AI185" s="188"/>
      <c r="AJ185" s="189"/>
      <c r="AK185" s="188"/>
      <c r="AL185" s="188"/>
      <c r="AM185" s="183"/>
      <c r="AN185" s="183"/>
      <c r="AO185" s="183"/>
      <c r="AP185" s="183"/>
      <c r="AQ185" s="273"/>
    </row>
    <row r="186" spans="1:43" x14ac:dyDescent="0.25">
      <c r="A186" s="328">
        <v>5</v>
      </c>
      <c r="B186" s="390">
        <v>2</v>
      </c>
      <c r="C186" s="391"/>
      <c r="D186" s="392"/>
      <c r="E186" s="393"/>
      <c r="F186" s="73" t="s">
        <v>120</v>
      </c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86"/>
      <c r="AD186" s="74">
        <f>+AD187+AD195</f>
        <v>446881650</v>
      </c>
      <c r="AE186" s="63">
        <f>(AD186/AD$13)*100</f>
        <v>3.3867512527809076</v>
      </c>
      <c r="AF186" s="196"/>
      <c r="AG186" s="189"/>
      <c r="AH186" s="188"/>
      <c r="AI186" s="188"/>
      <c r="AJ186" s="189"/>
      <c r="AK186" s="188"/>
      <c r="AL186" s="188"/>
      <c r="AM186" s="183"/>
      <c r="AN186" s="183"/>
      <c r="AO186" s="183"/>
      <c r="AP186" s="183"/>
      <c r="AQ186" s="273"/>
    </row>
    <row r="187" spans="1:43" x14ac:dyDescent="0.25">
      <c r="A187" s="398">
        <v>5</v>
      </c>
      <c r="B187" s="399">
        <v>2</v>
      </c>
      <c r="C187" s="399">
        <v>1</v>
      </c>
      <c r="D187" s="332"/>
      <c r="E187" s="400"/>
      <c r="F187" s="44" t="s">
        <v>58</v>
      </c>
      <c r="G187" s="45"/>
      <c r="H187" s="46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19"/>
      <c r="AC187" s="31"/>
      <c r="AD187" s="34">
        <f>+AD188</f>
        <v>8928000</v>
      </c>
      <c r="AE187" s="63">
        <f>(AD187/AD$13)*100</f>
        <v>6.7662020100462711E-2</v>
      </c>
      <c r="AF187" s="196"/>
      <c r="AG187" s="189"/>
      <c r="AH187" s="188"/>
      <c r="AI187" s="188"/>
      <c r="AJ187" s="189"/>
      <c r="AK187" s="188"/>
      <c r="AL187" s="188"/>
      <c r="AM187" s="183"/>
      <c r="AN187" s="183"/>
      <c r="AO187" s="183"/>
      <c r="AP187" s="183"/>
      <c r="AQ187" s="273"/>
    </row>
    <row r="188" spans="1:43" x14ac:dyDescent="0.25">
      <c r="A188" s="398">
        <v>5</v>
      </c>
      <c r="B188" s="399">
        <v>2</v>
      </c>
      <c r="C188" s="399">
        <v>1</v>
      </c>
      <c r="D188" s="401" t="s">
        <v>5</v>
      </c>
      <c r="E188" s="400"/>
      <c r="F188" s="44" t="s">
        <v>0</v>
      </c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19"/>
      <c r="AC188" s="31"/>
      <c r="AD188" s="34">
        <f>+AD189+AD192</f>
        <v>8928000</v>
      </c>
      <c r="AE188" s="63">
        <f>(AD188/AD$13)*100</f>
        <v>6.7662020100462711E-2</v>
      </c>
      <c r="AF188" s="196"/>
      <c r="AG188" s="189"/>
      <c r="AH188" s="188"/>
      <c r="AI188" s="188"/>
      <c r="AJ188" s="189"/>
      <c r="AK188" s="188"/>
      <c r="AL188" s="188"/>
      <c r="AM188" s="183"/>
      <c r="AN188" s="183"/>
      <c r="AO188" s="183"/>
      <c r="AP188" s="183"/>
      <c r="AQ188" s="273"/>
    </row>
    <row r="189" spans="1:43" x14ac:dyDescent="0.25">
      <c r="A189" s="402">
        <v>5</v>
      </c>
      <c r="B189" s="332">
        <v>2</v>
      </c>
      <c r="C189" s="332">
        <v>1</v>
      </c>
      <c r="D189" s="333" t="s">
        <v>5</v>
      </c>
      <c r="E189" s="403" t="s">
        <v>5</v>
      </c>
      <c r="F189" s="73" t="s">
        <v>46</v>
      </c>
      <c r="G189" s="75"/>
      <c r="H189" s="7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42"/>
      <c r="AC189" s="43"/>
      <c r="AD189" s="74">
        <f>+AD190</f>
        <v>4878000</v>
      </c>
      <c r="AE189" s="63">
        <f>(AD189/AD$13)*100</f>
        <v>3.6968563401664101E-2</v>
      </c>
      <c r="AF189" s="196"/>
      <c r="AG189" s="189"/>
      <c r="AH189" s="188"/>
      <c r="AI189" s="188"/>
      <c r="AJ189" s="189"/>
      <c r="AK189" s="188"/>
      <c r="AL189" s="188"/>
      <c r="AM189" s="183"/>
      <c r="AN189" s="183"/>
      <c r="AO189" s="183"/>
      <c r="AP189" s="183"/>
      <c r="AQ189" s="273"/>
    </row>
    <row r="190" spans="1:43" x14ac:dyDescent="0.25">
      <c r="A190" s="398"/>
      <c r="B190" s="399"/>
      <c r="C190" s="399"/>
      <c r="D190" s="401"/>
      <c r="E190" s="400"/>
      <c r="F190" s="73" t="s">
        <v>79</v>
      </c>
      <c r="G190" s="45"/>
      <c r="H190" s="45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19"/>
      <c r="AC190" s="31"/>
      <c r="AD190" s="74">
        <v>4878000</v>
      </c>
      <c r="AE190" s="63">
        <f>(AD190/AD$13)*100</f>
        <v>3.6968563401664101E-2</v>
      </c>
      <c r="AF190" s="196"/>
      <c r="AG190" s="189"/>
      <c r="AH190" s="188"/>
      <c r="AI190" s="188">
        <f>+AD190</f>
        <v>4878000</v>
      </c>
      <c r="AJ190" s="189"/>
      <c r="AK190" s="188"/>
      <c r="AL190" s="188"/>
      <c r="AM190" s="183"/>
      <c r="AN190" s="183"/>
      <c r="AO190" s="183"/>
      <c r="AP190" s="183"/>
      <c r="AQ190" s="273"/>
    </row>
    <row r="191" spans="1:43" x14ac:dyDescent="0.25">
      <c r="A191" s="398"/>
      <c r="B191" s="399"/>
      <c r="C191" s="399"/>
      <c r="D191" s="401"/>
      <c r="E191" s="400"/>
      <c r="F191" s="44"/>
      <c r="G191" s="45"/>
      <c r="H191" s="45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19"/>
      <c r="AC191" s="31"/>
      <c r="AD191" s="34"/>
      <c r="AE191" s="129"/>
      <c r="AF191" s="196"/>
      <c r="AG191" s="189"/>
      <c r="AH191" s="188"/>
      <c r="AI191" s="188"/>
      <c r="AJ191" s="189"/>
      <c r="AK191" s="188"/>
      <c r="AL191" s="188"/>
      <c r="AM191" s="183"/>
      <c r="AN191" s="183"/>
      <c r="AO191" s="183"/>
      <c r="AP191" s="183"/>
      <c r="AQ191" s="273"/>
    </row>
    <row r="192" spans="1:43" x14ac:dyDescent="0.25">
      <c r="A192" s="402">
        <v>5</v>
      </c>
      <c r="B192" s="332">
        <v>2</v>
      </c>
      <c r="C192" s="332">
        <v>1</v>
      </c>
      <c r="D192" s="333" t="s">
        <v>5</v>
      </c>
      <c r="E192" s="403" t="s">
        <v>52</v>
      </c>
      <c r="F192" s="73" t="s">
        <v>53</v>
      </c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42"/>
      <c r="AC192" s="43"/>
      <c r="AD192" s="34">
        <f>+AD193</f>
        <v>4050000</v>
      </c>
      <c r="AE192" s="63">
        <f>(AD192/AD$13)*100</f>
        <v>3.069345669879861E-2</v>
      </c>
      <c r="AF192" s="196"/>
      <c r="AG192" s="189"/>
      <c r="AH192" s="188"/>
      <c r="AI192" s="188"/>
      <c r="AJ192" s="189"/>
      <c r="AK192" s="188"/>
      <c r="AL192" s="188"/>
      <c r="AM192" s="183"/>
      <c r="AN192" s="183"/>
      <c r="AO192" s="183"/>
      <c r="AP192" s="183"/>
      <c r="AQ192" s="273"/>
    </row>
    <row r="193" spans="1:43" x14ac:dyDescent="0.25">
      <c r="A193" s="398"/>
      <c r="B193" s="399"/>
      <c r="C193" s="399"/>
      <c r="D193" s="401"/>
      <c r="E193" s="400"/>
      <c r="F193" s="73" t="s">
        <v>81</v>
      </c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42"/>
      <c r="AC193" s="43"/>
      <c r="AD193" s="74">
        <v>4050000</v>
      </c>
      <c r="AE193" s="63">
        <f>(AD193/AD$13)*100</f>
        <v>3.069345669879861E-2</v>
      </c>
      <c r="AF193" s="196"/>
      <c r="AG193" s="189"/>
      <c r="AH193" s="188"/>
      <c r="AI193" s="188"/>
      <c r="AJ193" s="189"/>
      <c r="AK193" s="188">
        <f>+AD193</f>
        <v>4050000</v>
      </c>
      <c r="AL193" s="188"/>
      <c r="AM193" s="183"/>
      <c r="AN193" s="183"/>
      <c r="AO193" s="183"/>
      <c r="AP193" s="183"/>
      <c r="AQ193" s="273"/>
    </row>
    <row r="194" spans="1:43" x14ac:dyDescent="0.25">
      <c r="A194" s="398"/>
      <c r="B194" s="399"/>
      <c r="C194" s="399"/>
      <c r="D194" s="401"/>
      <c r="E194" s="400"/>
      <c r="F194" s="73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42"/>
      <c r="AC194" s="43"/>
      <c r="AD194" s="74"/>
      <c r="AE194" s="127"/>
      <c r="AF194" s="196"/>
      <c r="AG194" s="189"/>
      <c r="AH194" s="188"/>
      <c r="AI194" s="188"/>
      <c r="AJ194" s="189"/>
      <c r="AK194" s="188"/>
      <c r="AL194" s="188"/>
      <c r="AM194" s="183"/>
      <c r="AN194" s="183"/>
      <c r="AO194" s="183"/>
      <c r="AP194" s="183"/>
      <c r="AQ194" s="273"/>
    </row>
    <row r="195" spans="1:43" x14ac:dyDescent="0.25">
      <c r="A195" s="398">
        <v>5</v>
      </c>
      <c r="B195" s="399">
        <v>2</v>
      </c>
      <c r="C195" s="399">
        <v>2</v>
      </c>
      <c r="D195" s="332"/>
      <c r="E195" s="400"/>
      <c r="F195" s="44" t="s">
        <v>83</v>
      </c>
      <c r="G195" s="45"/>
      <c r="H195" s="46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19"/>
      <c r="AC195" s="31"/>
      <c r="AD195" s="34">
        <f>+AD196+AD200+AD203+AD208</f>
        <v>437953650</v>
      </c>
      <c r="AE195" s="63">
        <f>(AD195/AD$13)*100</f>
        <v>3.3190892326804451</v>
      </c>
      <c r="AF195" s="196"/>
      <c r="AG195" s="189"/>
      <c r="AH195" s="188"/>
      <c r="AI195" s="188"/>
      <c r="AJ195" s="189"/>
      <c r="AK195" s="188"/>
      <c r="AL195" s="188"/>
      <c r="AM195" s="183"/>
      <c r="AN195" s="183"/>
      <c r="AO195" s="183"/>
      <c r="AP195" s="183"/>
      <c r="AQ195" s="273"/>
    </row>
    <row r="196" spans="1:43" x14ac:dyDescent="0.25">
      <c r="A196" s="398">
        <v>5</v>
      </c>
      <c r="B196" s="399">
        <v>2</v>
      </c>
      <c r="C196" s="399">
        <v>2</v>
      </c>
      <c r="D196" s="401" t="s">
        <v>5</v>
      </c>
      <c r="E196" s="400"/>
      <c r="F196" s="44" t="s">
        <v>17</v>
      </c>
      <c r="G196" s="45"/>
      <c r="H196" s="46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19"/>
      <c r="AC196" s="31"/>
      <c r="AD196" s="34">
        <f>AD197</f>
        <v>1953650</v>
      </c>
      <c r="AE196" s="63">
        <f>(AD196/AD$13)*100</f>
        <v>1.4805993007310593E-2</v>
      </c>
      <c r="AF196" s="196"/>
      <c r="AG196" s="189"/>
      <c r="AH196" s="188"/>
      <c r="AI196" s="188"/>
      <c r="AJ196" s="189"/>
      <c r="AK196" s="188"/>
      <c r="AL196" s="188"/>
      <c r="AM196" s="183"/>
      <c r="AN196" s="183"/>
      <c r="AO196" s="183"/>
      <c r="AP196" s="183"/>
      <c r="AQ196" s="273"/>
    </row>
    <row r="197" spans="1:43" x14ac:dyDescent="0.25">
      <c r="A197" s="402">
        <v>5</v>
      </c>
      <c r="B197" s="332">
        <v>2</v>
      </c>
      <c r="C197" s="332">
        <v>2</v>
      </c>
      <c r="D197" s="333" t="s">
        <v>5</v>
      </c>
      <c r="E197" s="403" t="s">
        <v>5</v>
      </c>
      <c r="F197" s="73" t="s">
        <v>18</v>
      </c>
      <c r="G197" s="75"/>
      <c r="H197" s="86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19"/>
      <c r="AC197" s="31"/>
      <c r="AD197" s="74">
        <f>SUM(AD198:AD198)</f>
        <v>1953650</v>
      </c>
      <c r="AE197" s="63">
        <f>(AD197/AD$13)*100</f>
        <v>1.4805993007310593E-2</v>
      </c>
      <c r="AF197" s="196"/>
      <c r="AG197" s="189"/>
      <c r="AH197" s="188"/>
      <c r="AI197" s="188"/>
      <c r="AJ197" s="189"/>
      <c r="AK197" s="188"/>
      <c r="AL197" s="188"/>
      <c r="AM197" s="183"/>
      <c r="AN197" s="183"/>
      <c r="AO197" s="183"/>
      <c r="AP197" s="183"/>
      <c r="AQ197" s="273"/>
    </row>
    <row r="198" spans="1:43" x14ac:dyDescent="0.25">
      <c r="A198" s="402"/>
      <c r="B198" s="332"/>
      <c r="C198" s="332"/>
      <c r="D198" s="333"/>
      <c r="E198" s="403"/>
      <c r="F198" s="122" t="s">
        <v>37</v>
      </c>
      <c r="G198" s="75" t="s">
        <v>149</v>
      </c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19"/>
      <c r="AC198" s="31"/>
      <c r="AD198" s="74">
        <v>1953650</v>
      </c>
      <c r="AE198" s="63">
        <f>(AD198/AD$13)*100</f>
        <v>1.4805993007310593E-2</v>
      </c>
      <c r="AF198" s="196"/>
      <c r="AG198" s="189">
        <f>+AD198/2</f>
        <v>976825</v>
      </c>
      <c r="AH198" s="188"/>
      <c r="AI198" s="188"/>
      <c r="AJ198" s="189"/>
      <c r="AK198" s="188"/>
      <c r="AL198" s="188">
        <f>+AG198</f>
        <v>976825</v>
      </c>
      <c r="AM198" s="183"/>
      <c r="AN198" s="183"/>
      <c r="AO198" s="183"/>
      <c r="AP198" s="183"/>
      <c r="AQ198" s="273"/>
    </row>
    <row r="199" spans="1:43" x14ac:dyDescent="0.25">
      <c r="A199" s="402"/>
      <c r="B199" s="332"/>
      <c r="C199" s="332"/>
      <c r="D199" s="333"/>
      <c r="E199" s="403"/>
      <c r="F199" s="73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19"/>
      <c r="AC199" s="31"/>
      <c r="AD199" s="74"/>
      <c r="AE199" s="129"/>
      <c r="AF199" s="196"/>
      <c r="AG199" s="189"/>
      <c r="AH199" s="188"/>
      <c r="AI199" s="188"/>
      <c r="AJ199" s="189"/>
      <c r="AK199" s="188"/>
      <c r="AL199" s="188"/>
      <c r="AM199" s="183"/>
      <c r="AN199" s="183"/>
      <c r="AO199" s="183"/>
      <c r="AP199" s="183"/>
      <c r="AQ199" s="273"/>
    </row>
    <row r="200" spans="1:43" x14ac:dyDescent="0.25">
      <c r="A200" s="398">
        <v>5</v>
      </c>
      <c r="B200" s="399">
        <v>2</v>
      </c>
      <c r="C200" s="399">
        <v>2</v>
      </c>
      <c r="D200" s="401" t="s">
        <v>12</v>
      </c>
      <c r="E200" s="400"/>
      <c r="F200" s="322" t="s">
        <v>16</v>
      </c>
      <c r="G200" s="323"/>
      <c r="H200" s="324"/>
      <c r="I200" s="323"/>
      <c r="J200" s="323"/>
      <c r="K200" s="323"/>
      <c r="L200" s="323"/>
      <c r="M200" s="323"/>
      <c r="N200" s="323"/>
      <c r="O200" s="323"/>
      <c r="P200" s="323"/>
      <c r="Q200" s="323"/>
      <c r="R200" s="323"/>
      <c r="S200" s="323"/>
      <c r="T200" s="323"/>
      <c r="U200" s="323"/>
      <c r="V200" s="323"/>
      <c r="W200" s="323"/>
      <c r="X200" s="323"/>
      <c r="Y200" s="323"/>
      <c r="Z200" s="323"/>
      <c r="AA200" s="323"/>
      <c r="AB200" s="19"/>
      <c r="AC200" s="31"/>
      <c r="AD200" s="34">
        <f>+AD201</f>
        <v>1000000</v>
      </c>
      <c r="AE200" s="63">
        <f>(AD200/AD$13)*100</f>
        <v>7.5786312836539776E-3</v>
      </c>
      <c r="AF200" s="196"/>
      <c r="AG200" s="189"/>
      <c r="AH200" s="188"/>
      <c r="AI200" s="188"/>
      <c r="AJ200" s="189"/>
      <c r="AK200" s="188"/>
      <c r="AL200" s="188"/>
      <c r="AM200" s="183"/>
      <c r="AN200" s="183"/>
      <c r="AO200" s="183"/>
      <c r="AP200" s="183"/>
      <c r="AQ200" s="273"/>
    </row>
    <row r="201" spans="1:43" x14ac:dyDescent="0.25">
      <c r="A201" s="402">
        <v>5</v>
      </c>
      <c r="B201" s="332">
        <v>2</v>
      </c>
      <c r="C201" s="332">
        <v>2</v>
      </c>
      <c r="D201" s="333" t="s">
        <v>12</v>
      </c>
      <c r="E201" s="404" t="s">
        <v>10</v>
      </c>
      <c r="F201" s="73" t="s">
        <v>88</v>
      </c>
      <c r="G201" s="421"/>
      <c r="H201" s="421"/>
      <c r="I201" s="421"/>
      <c r="J201" s="421"/>
      <c r="K201" s="421"/>
      <c r="L201" s="421"/>
      <c r="M201" s="421"/>
      <c r="N201" s="421"/>
      <c r="O201" s="421"/>
      <c r="P201" s="421"/>
      <c r="Q201" s="421"/>
      <c r="R201" s="421"/>
      <c r="S201" s="421"/>
      <c r="T201" s="421"/>
      <c r="U201" s="421"/>
      <c r="V201" s="421"/>
      <c r="W201" s="421"/>
      <c r="X201" s="421"/>
      <c r="Y201" s="421"/>
      <c r="Z201" s="421"/>
      <c r="AA201" s="421"/>
      <c r="AB201" s="19"/>
      <c r="AC201" s="31"/>
      <c r="AD201" s="74">
        <v>1000000</v>
      </c>
      <c r="AE201" s="63">
        <f>(AD201/AD$13)*100</f>
        <v>7.5786312836539776E-3</v>
      </c>
      <c r="AF201" s="196"/>
      <c r="AG201" s="189"/>
      <c r="AH201" s="188">
        <f>+AD201/2</f>
        <v>500000</v>
      </c>
      <c r="AI201" s="188"/>
      <c r="AJ201" s="189"/>
      <c r="AK201" s="188"/>
      <c r="AL201" s="188"/>
      <c r="AM201" s="183">
        <f>+AH201</f>
        <v>500000</v>
      </c>
      <c r="AN201" s="183"/>
      <c r="AO201" s="183"/>
      <c r="AP201" s="183"/>
      <c r="AQ201" s="273"/>
    </row>
    <row r="202" spans="1:43" x14ac:dyDescent="0.25">
      <c r="A202" s="402"/>
      <c r="B202" s="332"/>
      <c r="C202" s="332"/>
      <c r="D202" s="333"/>
      <c r="E202" s="404"/>
      <c r="F202" s="73"/>
      <c r="G202" s="421"/>
      <c r="H202" s="421"/>
      <c r="I202" s="421"/>
      <c r="J202" s="421"/>
      <c r="K202" s="421"/>
      <c r="L202" s="421"/>
      <c r="M202" s="421"/>
      <c r="N202" s="421"/>
      <c r="O202" s="421"/>
      <c r="P202" s="421"/>
      <c r="Q202" s="421"/>
      <c r="R202" s="421"/>
      <c r="S202" s="421"/>
      <c r="T202" s="421"/>
      <c r="U202" s="421"/>
      <c r="V202" s="421"/>
      <c r="W202" s="421"/>
      <c r="X202" s="421"/>
      <c r="Y202" s="421"/>
      <c r="Z202" s="421"/>
      <c r="AA202" s="421"/>
      <c r="AB202" s="19"/>
      <c r="AC202" s="31"/>
      <c r="AD202" s="74"/>
      <c r="AE202" s="127"/>
      <c r="AF202" s="196"/>
      <c r="AG202" s="189"/>
      <c r="AH202" s="188"/>
      <c r="AI202" s="188"/>
      <c r="AJ202" s="189"/>
      <c r="AK202" s="188"/>
      <c r="AL202" s="188"/>
      <c r="AM202" s="183"/>
      <c r="AN202" s="183"/>
      <c r="AO202" s="183"/>
      <c r="AP202" s="183"/>
      <c r="AQ202" s="273"/>
    </row>
    <row r="203" spans="1:43" x14ac:dyDescent="0.25">
      <c r="A203" s="398">
        <v>5</v>
      </c>
      <c r="B203" s="399">
        <v>2</v>
      </c>
      <c r="C203" s="399">
        <v>2</v>
      </c>
      <c r="D203" s="399">
        <v>15</v>
      </c>
      <c r="E203" s="400"/>
      <c r="F203" s="322" t="s">
        <v>57</v>
      </c>
      <c r="G203" s="323"/>
      <c r="H203" s="324"/>
      <c r="I203" s="323"/>
      <c r="J203" s="323"/>
      <c r="K203" s="323"/>
      <c r="L203" s="323"/>
      <c r="M203" s="323"/>
      <c r="N203" s="323"/>
      <c r="O203" s="323"/>
      <c r="P203" s="323"/>
      <c r="Q203" s="323"/>
      <c r="R203" s="323"/>
      <c r="S203" s="323"/>
      <c r="T203" s="323"/>
      <c r="U203" s="323"/>
      <c r="V203" s="323"/>
      <c r="W203" s="323"/>
      <c r="X203" s="323"/>
      <c r="Y203" s="323"/>
      <c r="Z203" s="323"/>
      <c r="AA203" s="323"/>
      <c r="AB203" s="19"/>
      <c r="AC203" s="31"/>
      <c r="AD203" s="34">
        <f>+AD204+AD206</f>
        <v>10000000</v>
      </c>
      <c r="AE203" s="63">
        <f>(AD203/AD$13)*100</f>
        <v>7.5786312836539776E-2</v>
      </c>
      <c r="AF203" s="196"/>
      <c r="AG203" s="189"/>
      <c r="AH203" s="188"/>
      <c r="AI203" s="188"/>
      <c r="AJ203" s="189"/>
      <c r="AK203" s="188"/>
      <c r="AL203" s="188"/>
      <c r="AM203" s="183"/>
      <c r="AN203" s="183"/>
      <c r="AO203" s="183"/>
      <c r="AP203" s="183"/>
      <c r="AQ203" s="273"/>
    </row>
    <row r="204" spans="1:43" x14ac:dyDescent="0.25">
      <c r="A204" s="402">
        <v>5</v>
      </c>
      <c r="B204" s="332">
        <v>2</v>
      </c>
      <c r="C204" s="332">
        <v>2</v>
      </c>
      <c r="D204" s="332">
        <v>15</v>
      </c>
      <c r="E204" s="403" t="s">
        <v>5</v>
      </c>
      <c r="F204" s="420" t="s">
        <v>89</v>
      </c>
      <c r="G204" s="421"/>
      <c r="H204" s="422"/>
      <c r="I204" s="421"/>
      <c r="J204" s="421"/>
      <c r="K204" s="421"/>
      <c r="L204" s="421"/>
      <c r="M204" s="421"/>
      <c r="N204" s="421"/>
      <c r="O204" s="421"/>
      <c r="P204" s="421"/>
      <c r="Q204" s="421"/>
      <c r="R204" s="421"/>
      <c r="S204" s="421"/>
      <c r="T204" s="421"/>
      <c r="U204" s="421"/>
      <c r="V204" s="421"/>
      <c r="W204" s="421"/>
      <c r="X204" s="421"/>
      <c r="Y204" s="421"/>
      <c r="Z204" s="421"/>
      <c r="AA204" s="421"/>
      <c r="AB204" s="19"/>
      <c r="AC204" s="31"/>
      <c r="AD204" s="74">
        <v>10000000</v>
      </c>
      <c r="AE204" s="63">
        <f>(AD204/AD$13)*100</f>
        <v>7.5786312836539776E-2</v>
      </c>
      <c r="AF204" s="196"/>
      <c r="AG204" s="189">
        <v>3000000</v>
      </c>
      <c r="AH204" s="188">
        <f>+AG204</f>
        <v>3000000</v>
      </c>
      <c r="AI204" s="188">
        <v>2000000</v>
      </c>
      <c r="AJ204" s="189">
        <v>2000000</v>
      </c>
      <c r="AK204" s="188"/>
      <c r="AL204" s="188"/>
      <c r="AM204" s="183"/>
      <c r="AN204" s="183"/>
      <c r="AO204" s="183"/>
      <c r="AP204" s="183"/>
      <c r="AQ204" s="273"/>
    </row>
    <row r="205" spans="1:43" x14ac:dyDescent="0.25">
      <c r="A205" s="402"/>
      <c r="B205" s="332"/>
      <c r="C205" s="332"/>
      <c r="D205" s="332"/>
      <c r="E205" s="403"/>
      <c r="F205" s="420"/>
      <c r="G205" s="421"/>
      <c r="H205" s="421"/>
      <c r="I205" s="421"/>
      <c r="J205" s="421"/>
      <c r="K205" s="421"/>
      <c r="L205" s="421"/>
      <c r="M205" s="421"/>
      <c r="N205" s="421"/>
      <c r="O205" s="421"/>
      <c r="P205" s="421"/>
      <c r="Q205" s="421"/>
      <c r="R205" s="421"/>
      <c r="S205" s="421"/>
      <c r="T205" s="421"/>
      <c r="U205" s="421"/>
      <c r="V205" s="421"/>
      <c r="W205" s="421"/>
      <c r="X205" s="421"/>
      <c r="Y205" s="421"/>
      <c r="Z205" s="421"/>
      <c r="AA205" s="421"/>
      <c r="AB205" s="19"/>
      <c r="AC205" s="31"/>
      <c r="AD205" s="74"/>
      <c r="AE205" s="127"/>
      <c r="AF205" s="196"/>
      <c r="AG205" s="189"/>
      <c r="AH205" s="188"/>
      <c r="AI205" s="188"/>
      <c r="AJ205" s="189"/>
      <c r="AK205" s="188"/>
      <c r="AL205" s="188"/>
      <c r="AM205" s="183"/>
      <c r="AN205" s="183"/>
      <c r="AO205" s="183"/>
      <c r="AP205" s="183"/>
      <c r="AQ205" s="273"/>
    </row>
    <row r="206" spans="1:43" x14ac:dyDescent="0.25">
      <c r="A206" s="402">
        <v>5</v>
      </c>
      <c r="B206" s="332">
        <v>2</v>
      </c>
      <c r="C206" s="332">
        <v>2</v>
      </c>
      <c r="D206" s="332">
        <v>15</v>
      </c>
      <c r="E206" s="403" t="s">
        <v>10</v>
      </c>
      <c r="F206" s="420" t="s">
        <v>90</v>
      </c>
      <c r="G206" s="421"/>
      <c r="H206" s="421"/>
      <c r="I206" s="421"/>
      <c r="J206" s="421"/>
      <c r="K206" s="421"/>
      <c r="L206" s="421"/>
      <c r="M206" s="421"/>
      <c r="N206" s="421"/>
      <c r="O206" s="421"/>
      <c r="P206" s="421"/>
      <c r="Q206" s="421"/>
      <c r="R206" s="421"/>
      <c r="S206" s="421"/>
      <c r="T206" s="421"/>
      <c r="U206" s="421"/>
      <c r="V206" s="421"/>
      <c r="W206" s="421"/>
      <c r="X206" s="421"/>
      <c r="Y206" s="421"/>
      <c r="Z206" s="421"/>
      <c r="AA206" s="421"/>
      <c r="AB206" s="19"/>
      <c r="AC206" s="31"/>
      <c r="AD206" s="74">
        <v>0</v>
      </c>
      <c r="AE206" s="127">
        <f>(AD206/AD$11)*100</f>
        <v>0</v>
      </c>
      <c r="AF206" s="196"/>
      <c r="AG206" s="189"/>
      <c r="AH206" s="188"/>
      <c r="AI206" s="188"/>
      <c r="AJ206" s="189"/>
      <c r="AK206" s="188"/>
      <c r="AL206" s="188"/>
      <c r="AM206" s="183"/>
      <c r="AN206" s="183"/>
      <c r="AO206" s="183"/>
      <c r="AP206" s="183"/>
      <c r="AQ206" s="273"/>
    </row>
    <row r="207" spans="1:43" x14ac:dyDescent="0.25">
      <c r="A207" s="402"/>
      <c r="B207" s="332"/>
      <c r="C207" s="332"/>
      <c r="D207" s="332"/>
      <c r="E207" s="403"/>
      <c r="F207" s="420"/>
      <c r="G207" s="421"/>
      <c r="H207" s="421"/>
      <c r="I207" s="421"/>
      <c r="J207" s="421"/>
      <c r="K207" s="421"/>
      <c r="L207" s="421"/>
      <c r="M207" s="421"/>
      <c r="N207" s="421"/>
      <c r="O207" s="421"/>
      <c r="P207" s="421"/>
      <c r="Q207" s="421"/>
      <c r="R207" s="421"/>
      <c r="S207" s="421"/>
      <c r="T207" s="421"/>
      <c r="U207" s="421"/>
      <c r="V207" s="421"/>
      <c r="W207" s="421"/>
      <c r="X207" s="421"/>
      <c r="Y207" s="421"/>
      <c r="Z207" s="421"/>
      <c r="AA207" s="421"/>
      <c r="AB207" s="19"/>
      <c r="AC207" s="31"/>
      <c r="AD207" s="74"/>
      <c r="AE207" s="127"/>
      <c r="AF207" s="196"/>
      <c r="AG207" s="189"/>
      <c r="AH207" s="188"/>
      <c r="AI207" s="188"/>
      <c r="AJ207" s="189"/>
      <c r="AK207" s="188"/>
      <c r="AL207" s="188"/>
      <c r="AM207" s="183"/>
      <c r="AN207" s="183"/>
      <c r="AO207" s="183"/>
      <c r="AP207" s="183"/>
      <c r="AQ207" s="273"/>
    </row>
    <row r="208" spans="1:43" x14ac:dyDescent="0.25">
      <c r="A208" s="398">
        <v>5</v>
      </c>
      <c r="B208" s="399">
        <v>2</v>
      </c>
      <c r="C208" s="399">
        <v>2</v>
      </c>
      <c r="D208" s="401" t="s">
        <v>32</v>
      </c>
      <c r="E208" s="400"/>
      <c r="F208" s="44" t="s">
        <v>91</v>
      </c>
      <c r="G208" s="45"/>
      <c r="H208" s="46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19"/>
      <c r="AC208" s="31"/>
      <c r="AD208" s="34">
        <f>AD209</f>
        <v>425000000</v>
      </c>
      <c r="AE208" s="63">
        <f t="shared" ref="AE208:AE213" si="21">(AD208/AD$13)*100</f>
        <v>3.220918295552941</v>
      </c>
      <c r="AF208" s="196"/>
      <c r="AG208" s="189"/>
      <c r="AH208" s="188"/>
      <c r="AI208" s="188"/>
      <c r="AJ208" s="189"/>
      <c r="AK208" s="188"/>
      <c r="AL208" s="188"/>
      <c r="AM208" s="183"/>
      <c r="AN208" s="183"/>
      <c r="AO208" s="183"/>
      <c r="AP208" s="183"/>
      <c r="AQ208" s="273"/>
    </row>
    <row r="209" spans="1:43" x14ac:dyDescent="0.25">
      <c r="A209" s="402">
        <v>5</v>
      </c>
      <c r="B209" s="332">
        <v>2</v>
      </c>
      <c r="C209" s="332">
        <v>2</v>
      </c>
      <c r="D209" s="333" t="s">
        <v>32</v>
      </c>
      <c r="E209" s="403" t="s">
        <v>10</v>
      </c>
      <c r="F209" s="73" t="s">
        <v>92</v>
      </c>
      <c r="G209" s="75"/>
      <c r="H209" s="86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19"/>
      <c r="AC209" s="31"/>
      <c r="AD209" s="74">
        <f>+AD210</f>
        <v>425000000</v>
      </c>
      <c r="AE209" s="63">
        <f t="shared" si="21"/>
        <v>3.220918295552941</v>
      </c>
      <c r="AF209" s="196"/>
      <c r="AG209" s="189"/>
      <c r="AH209" s="188"/>
      <c r="AI209" s="188"/>
      <c r="AJ209" s="189"/>
      <c r="AK209" s="188"/>
      <c r="AL209" s="188"/>
      <c r="AM209" s="183"/>
      <c r="AN209" s="183"/>
      <c r="AO209" s="183"/>
      <c r="AP209" s="183"/>
      <c r="AQ209" s="273"/>
    </row>
    <row r="210" spans="1:43" x14ac:dyDescent="0.25">
      <c r="A210" s="402"/>
      <c r="B210" s="332"/>
      <c r="C210" s="332"/>
      <c r="D210" s="332"/>
      <c r="E210" s="400"/>
      <c r="F210" s="73" t="s">
        <v>150</v>
      </c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19"/>
      <c r="AC210" s="31"/>
      <c r="AD210" s="74">
        <f>SUM(AD211:AD213)</f>
        <v>425000000</v>
      </c>
      <c r="AE210" s="63">
        <f t="shared" si="21"/>
        <v>3.220918295552941</v>
      </c>
      <c r="AF210" s="196"/>
      <c r="AG210" s="189"/>
      <c r="AH210" s="188"/>
      <c r="AI210" s="188"/>
      <c r="AJ210" s="189"/>
      <c r="AK210" s="188"/>
      <c r="AL210" s="188"/>
      <c r="AM210" s="183"/>
      <c r="AN210" s="183"/>
      <c r="AO210" s="183"/>
      <c r="AP210" s="183"/>
      <c r="AQ210" s="273"/>
    </row>
    <row r="211" spans="1:43" x14ac:dyDescent="0.25">
      <c r="A211" s="402"/>
      <c r="B211" s="332"/>
      <c r="C211" s="332"/>
      <c r="D211" s="332"/>
      <c r="E211" s="400"/>
      <c r="F211" s="123">
        <v>1</v>
      </c>
      <c r="G211" s="75" t="s">
        <v>151</v>
      </c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19"/>
      <c r="AC211" s="31"/>
      <c r="AD211" s="74">
        <v>150000000</v>
      </c>
      <c r="AE211" s="63">
        <f t="shared" si="21"/>
        <v>1.1367946925480967</v>
      </c>
      <c r="AF211" s="196"/>
      <c r="AG211" s="189"/>
      <c r="AH211" s="188">
        <f>0.3*AD211</f>
        <v>45000000</v>
      </c>
      <c r="AI211" s="188">
        <f>0.5*AD211-(0.5*AH211)</f>
        <v>52500000</v>
      </c>
      <c r="AJ211" s="188">
        <f>+AI211</f>
        <v>52500000</v>
      </c>
      <c r="AK211" s="208"/>
      <c r="AL211" s="72"/>
      <c r="AM211" s="183"/>
      <c r="AN211" s="183"/>
      <c r="AO211" s="183"/>
      <c r="AP211" s="183"/>
      <c r="AQ211" s="273"/>
    </row>
    <row r="212" spans="1:43" x14ac:dyDescent="0.25">
      <c r="A212" s="402"/>
      <c r="B212" s="332"/>
      <c r="C212" s="332"/>
      <c r="D212" s="332"/>
      <c r="E212" s="400"/>
      <c r="F212" s="123">
        <f>+F211+1</f>
        <v>2</v>
      </c>
      <c r="G212" s="75" t="s">
        <v>152</v>
      </c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19"/>
      <c r="AC212" s="31"/>
      <c r="AD212" s="74">
        <v>150000000</v>
      </c>
      <c r="AE212" s="63">
        <f t="shared" si="21"/>
        <v>1.1367946925480967</v>
      </c>
      <c r="AF212" s="196"/>
      <c r="AG212" s="189"/>
      <c r="AH212" s="188">
        <f>0.3*AD212</f>
        <v>45000000</v>
      </c>
      <c r="AI212" s="188">
        <f>0.5*AD212-(0.5*AH212)</f>
        <v>52500000</v>
      </c>
      <c r="AJ212" s="188">
        <f>+AI212</f>
        <v>52500000</v>
      </c>
      <c r="AK212" s="208"/>
      <c r="AL212" s="306"/>
      <c r="AM212" s="183"/>
      <c r="AN212" s="183"/>
      <c r="AO212" s="183"/>
      <c r="AP212" s="183"/>
      <c r="AQ212" s="273"/>
    </row>
    <row r="213" spans="1:43" ht="13.8" thickBot="1" x14ac:dyDescent="0.3">
      <c r="A213" s="402"/>
      <c r="B213" s="332"/>
      <c r="C213" s="332"/>
      <c r="D213" s="332"/>
      <c r="E213" s="400"/>
      <c r="F213" s="123">
        <f>+F212+1</f>
        <v>3</v>
      </c>
      <c r="G213" s="75" t="s">
        <v>153</v>
      </c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19"/>
      <c r="AC213" s="31"/>
      <c r="AD213" s="74">
        <v>125000000</v>
      </c>
      <c r="AE213" s="63">
        <f t="shared" si="21"/>
        <v>0.94732891045674716</v>
      </c>
      <c r="AF213" s="196"/>
      <c r="AG213" s="189"/>
      <c r="AH213" s="188">
        <f>0.3*AD213</f>
        <v>37500000</v>
      </c>
      <c r="AI213" s="188">
        <f>0.5*AD213-(0.5*AH213)</f>
        <v>43750000</v>
      </c>
      <c r="AJ213" s="188">
        <f>+AI213</f>
        <v>43750000</v>
      </c>
      <c r="AK213" s="304"/>
      <c r="AL213" s="72"/>
      <c r="AM213" s="183"/>
      <c r="AN213" s="183"/>
      <c r="AO213" s="183"/>
      <c r="AP213" s="183"/>
      <c r="AQ213" s="273"/>
    </row>
    <row r="214" spans="1:43" ht="13.8" thickTop="1" x14ac:dyDescent="0.25">
      <c r="A214" s="407"/>
      <c r="B214" s="408"/>
      <c r="C214" s="408"/>
      <c r="D214" s="408"/>
      <c r="E214" s="409"/>
      <c r="F214" s="242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7"/>
      <c r="S214" s="237"/>
      <c r="T214" s="237"/>
      <c r="U214" s="237"/>
      <c r="V214" s="237"/>
      <c r="W214" s="237"/>
      <c r="X214" s="237"/>
      <c r="Y214" s="237"/>
      <c r="Z214" s="237"/>
      <c r="AA214" s="237"/>
      <c r="AB214" s="238"/>
      <c r="AC214" s="239"/>
      <c r="AD214" s="257">
        <f>SUM(AF214:AQ214)</f>
        <v>446881650</v>
      </c>
      <c r="AE214" s="240"/>
      <c r="AF214" s="241">
        <f>SUM(AF186:AF213)</f>
        <v>0</v>
      </c>
      <c r="AG214" s="241">
        <f t="shared" ref="AG214:AQ214" si="22">SUM(AG186:AG213)</f>
        <v>3976825</v>
      </c>
      <c r="AH214" s="241">
        <f>SUM(AH186:AH213)</f>
        <v>131000000</v>
      </c>
      <c r="AI214" s="241">
        <f t="shared" si="22"/>
        <v>155628000</v>
      </c>
      <c r="AJ214" s="241">
        <f t="shared" si="22"/>
        <v>150750000</v>
      </c>
      <c r="AK214" s="241">
        <f t="shared" si="22"/>
        <v>4050000</v>
      </c>
      <c r="AL214" s="241">
        <f t="shared" si="22"/>
        <v>976825</v>
      </c>
      <c r="AM214" s="241">
        <f t="shared" si="22"/>
        <v>500000</v>
      </c>
      <c r="AN214" s="241">
        <f t="shared" si="22"/>
        <v>0</v>
      </c>
      <c r="AO214" s="241">
        <f t="shared" si="22"/>
        <v>0</v>
      </c>
      <c r="AP214" s="241">
        <f t="shared" si="22"/>
        <v>0</v>
      </c>
      <c r="AQ214" s="278">
        <f t="shared" si="22"/>
        <v>0</v>
      </c>
    </row>
    <row r="215" spans="1:43" ht="13.8" thickBot="1" x14ac:dyDescent="0.3">
      <c r="A215" s="440"/>
      <c r="B215" s="441"/>
      <c r="C215" s="441"/>
      <c r="D215" s="441"/>
      <c r="E215" s="442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62"/>
      <c r="AC215" s="244"/>
      <c r="AD215" s="266" t="s">
        <v>225</v>
      </c>
      <c r="AE215" s="245"/>
      <c r="AF215" s="978">
        <f>+AF214+AG214+AH214</f>
        <v>134976825</v>
      </c>
      <c r="AG215" s="979"/>
      <c r="AH215" s="258"/>
      <c r="AI215" s="980">
        <f>+AI214+AJ214+AK214</f>
        <v>310428000</v>
      </c>
      <c r="AJ215" s="981"/>
      <c r="AK215" s="259"/>
      <c r="AL215" s="982">
        <f>+AL214+AM214+AN214</f>
        <v>1476825</v>
      </c>
      <c r="AM215" s="983"/>
      <c r="AN215" s="260"/>
      <c r="AO215" s="976">
        <f>+AO214+AP214+AQ214</f>
        <v>0</v>
      </c>
      <c r="AP215" s="977"/>
      <c r="AQ215" s="283"/>
    </row>
    <row r="216" spans="1:43" x14ac:dyDescent="0.25">
      <c r="A216" s="329" t="s">
        <v>220</v>
      </c>
      <c r="B216" s="412"/>
      <c r="C216" s="412"/>
      <c r="D216" s="412"/>
      <c r="E216" s="413"/>
      <c r="F216" s="133"/>
      <c r="G216" s="134"/>
      <c r="H216" s="134" t="s">
        <v>219</v>
      </c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52"/>
      <c r="AC216" s="153"/>
      <c r="AD216" s="103">
        <f>+AD217+AD245</f>
        <v>1761728100</v>
      </c>
      <c r="AE216" s="63">
        <f t="shared" ref="AE216:AE223" si="23">(AD216/AD$13)*100</f>
        <v>13.351487691952283</v>
      </c>
      <c r="AF216" s="196"/>
      <c r="AG216" s="189"/>
      <c r="AH216" s="188"/>
      <c r="AI216" s="188"/>
      <c r="AJ216" s="189"/>
      <c r="AK216" s="188"/>
      <c r="AL216" s="188"/>
      <c r="AM216" s="183"/>
      <c r="AN216" s="183"/>
      <c r="AO216" s="183"/>
      <c r="AP216" s="183"/>
      <c r="AQ216" s="273"/>
    </row>
    <row r="217" spans="1:43" x14ac:dyDescent="0.25">
      <c r="A217" s="402">
        <v>5</v>
      </c>
      <c r="B217" s="332">
        <v>2</v>
      </c>
      <c r="C217" s="332">
        <v>1</v>
      </c>
      <c r="D217" s="332"/>
      <c r="E217" s="400"/>
      <c r="F217" s="73" t="s">
        <v>45</v>
      </c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48"/>
      <c r="AC217" s="49"/>
      <c r="AD217" s="34">
        <f>+AD218</f>
        <v>266398000</v>
      </c>
      <c r="AE217" s="63">
        <f t="shared" si="23"/>
        <v>2.0189322167028525</v>
      </c>
      <c r="AF217" s="196"/>
      <c r="AG217" s="189"/>
      <c r="AH217" s="188"/>
      <c r="AI217" s="188"/>
      <c r="AJ217" s="189"/>
      <c r="AK217" s="188"/>
      <c r="AL217" s="188"/>
      <c r="AM217" s="183"/>
      <c r="AN217" s="183"/>
      <c r="AO217" s="183"/>
      <c r="AP217" s="183"/>
      <c r="AQ217" s="273"/>
    </row>
    <row r="218" spans="1:43" x14ac:dyDescent="0.25">
      <c r="A218" s="402">
        <v>5</v>
      </c>
      <c r="B218" s="332">
        <v>2</v>
      </c>
      <c r="C218" s="332">
        <v>1</v>
      </c>
      <c r="D218" s="333" t="s">
        <v>5</v>
      </c>
      <c r="E218" s="400"/>
      <c r="F218" s="89" t="s">
        <v>51</v>
      </c>
      <c r="G218" s="90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48"/>
      <c r="AC218" s="49"/>
      <c r="AD218" s="34">
        <f>+AD219+AD238</f>
        <v>266398000</v>
      </c>
      <c r="AE218" s="63">
        <f t="shared" si="23"/>
        <v>2.0189322167028525</v>
      </c>
      <c r="AF218" s="196"/>
      <c r="AG218" s="189"/>
      <c r="AH218" s="188"/>
      <c r="AI218" s="188"/>
      <c r="AJ218" s="189"/>
      <c r="AK218" s="188"/>
      <c r="AL218" s="188"/>
      <c r="AM218" s="183"/>
      <c r="AN218" s="183"/>
      <c r="AO218" s="183"/>
      <c r="AP218" s="183"/>
      <c r="AQ218" s="273"/>
    </row>
    <row r="219" spans="1:43" x14ac:dyDescent="0.25">
      <c r="A219" s="402">
        <v>5</v>
      </c>
      <c r="B219" s="332">
        <v>2</v>
      </c>
      <c r="C219" s="332">
        <v>1</v>
      </c>
      <c r="D219" s="333" t="s">
        <v>5</v>
      </c>
      <c r="E219" s="403" t="s">
        <v>5</v>
      </c>
      <c r="F219" s="53" t="s">
        <v>46</v>
      </c>
      <c r="G219" s="59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48"/>
      <c r="AC219" s="49"/>
      <c r="AD219" s="34">
        <f>+AD220+AD221+AD222+AD223+AD225+AD235+AD236</f>
        <v>259738000</v>
      </c>
      <c r="AE219" s="63">
        <f t="shared" si="23"/>
        <v>1.9684585323537169</v>
      </c>
      <c r="AF219" s="196"/>
      <c r="AG219" s="189"/>
      <c r="AH219" s="188"/>
      <c r="AI219" s="188"/>
      <c r="AJ219" s="189"/>
      <c r="AK219" s="188"/>
      <c r="AL219" s="188"/>
      <c r="AM219" s="183"/>
      <c r="AN219" s="183"/>
      <c r="AO219" s="183"/>
      <c r="AP219" s="183"/>
      <c r="AQ219" s="273"/>
    </row>
    <row r="220" spans="1:43" x14ac:dyDescent="0.25">
      <c r="A220" s="402"/>
      <c r="B220" s="332"/>
      <c r="C220" s="332"/>
      <c r="D220" s="333"/>
      <c r="E220" s="403"/>
      <c r="F220" s="53" t="s">
        <v>35</v>
      </c>
      <c r="G220" s="60" t="s">
        <v>172</v>
      </c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48"/>
      <c r="AC220" s="49"/>
      <c r="AD220" s="74">
        <v>44697000</v>
      </c>
      <c r="AE220" s="63">
        <f t="shared" si="23"/>
        <v>0.33874208248548188</v>
      </c>
      <c r="AF220" s="196"/>
      <c r="AG220" s="189">
        <f>+AD220/3</f>
        <v>14899000</v>
      </c>
      <c r="AH220" s="188"/>
      <c r="AI220" s="189"/>
      <c r="AJ220" s="188">
        <f>+AG220</f>
        <v>14899000</v>
      </c>
      <c r="AK220" s="188"/>
      <c r="AL220" s="72"/>
      <c r="AM220" s="183">
        <f>+AJ220</f>
        <v>14899000</v>
      </c>
      <c r="AN220" s="183"/>
      <c r="AO220" s="183"/>
      <c r="AP220" s="183"/>
      <c r="AQ220" s="273"/>
    </row>
    <row r="221" spans="1:43" x14ac:dyDescent="0.25">
      <c r="A221" s="402"/>
      <c r="B221" s="332"/>
      <c r="C221" s="332"/>
      <c r="D221" s="332"/>
      <c r="E221" s="400"/>
      <c r="F221" s="53" t="s">
        <v>36</v>
      </c>
      <c r="G221" s="101" t="s">
        <v>173</v>
      </c>
      <c r="H221" s="54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48"/>
      <c r="AC221" s="49"/>
      <c r="AD221" s="74">
        <v>15729000</v>
      </c>
      <c r="AE221" s="63">
        <f t="shared" si="23"/>
        <v>0.11920429146059341</v>
      </c>
      <c r="AF221" s="196"/>
      <c r="AG221" s="189">
        <f>+AD221/3</f>
        <v>5243000</v>
      </c>
      <c r="AH221" s="188"/>
      <c r="AI221" s="189"/>
      <c r="AJ221" s="188">
        <f>+AG221</f>
        <v>5243000</v>
      </c>
      <c r="AK221" s="188"/>
      <c r="AL221" s="72"/>
      <c r="AM221" s="183">
        <f>+AJ221</f>
        <v>5243000</v>
      </c>
      <c r="AN221" s="183"/>
      <c r="AO221" s="183"/>
      <c r="AP221" s="183"/>
      <c r="AQ221" s="273"/>
    </row>
    <row r="222" spans="1:43" x14ac:dyDescent="0.25">
      <c r="A222" s="402"/>
      <c r="B222" s="332"/>
      <c r="C222" s="332"/>
      <c r="D222" s="332"/>
      <c r="E222" s="400"/>
      <c r="F222" s="53" t="s">
        <v>40</v>
      </c>
      <c r="G222" s="101" t="s">
        <v>174</v>
      </c>
      <c r="H222" s="54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48"/>
      <c r="AC222" s="49"/>
      <c r="AD222" s="74">
        <v>27706000</v>
      </c>
      <c r="AE222" s="63">
        <f t="shared" si="23"/>
        <v>0.2099735583449171</v>
      </c>
      <c r="AF222" s="196"/>
      <c r="AG222" s="189"/>
      <c r="AH222" s="188"/>
      <c r="AI222" s="188"/>
      <c r="AJ222" s="189"/>
      <c r="AK222" s="188"/>
      <c r="AL222" s="188">
        <f>+AD222</f>
        <v>27706000</v>
      </c>
      <c r="AM222" s="183"/>
      <c r="AN222" s="183"/>
      <c r="AO222" s="183"/>
      <c r="AP222" s="183"/>
      <c r="AQ222" s="273"/>
    </row>
    <row r="223" spans="1:43" x14ac:dyDescent="0.25">
      <c r="A223" s="402"/>
      <c r="B223" s="332"/>
      <c r="C223" s="332"/>
      <c r="D223" s="332"/>
      <c r="E223" s="400"/>
      <c r="F223" s="53" t="s">
        <v>41</v>
      </c>
      <c r="G223" s="101" t="s">
        <v>175</v>
      </c>
      <c r="H223" s="54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48"/>
      <c r="AC223" s="49"/>
      <c r="AD223" s="74">
        <v>23882000</v>
      </c>
      <c r="AE223" s="63">
        <f t="shared" si="23"/>
        <v>0.18099287231622432</v>
      </c>
      <c r="AF223" s="196"/>
      <c r="AG223" s="189"/>
      <c r="AH223" s="188"/>
      <c r="AI223" s="188">
        <f>+AD223/2</f>
        <v>11941000</v>
      </c>
      <c r="AJ223" s="189"/>
      <c r="AK223" s="188"/>
      <c r="AL223" s="188"/>
      <c r="AM223" s="183"/>
      <c r="AN223" s="183">
        <f>+AI223</f>
        <v>11941000</v>
      </c>
      <c r="AO223" s="183"/>
      <c r="AP223" s="183"/>
      <c r="AQ223" s="273"/>
    </row>
    <row r="224" spans="1:43" x14ac:dyDescent="0.25">
      <c r="A224" s="402"/>
      <c r="B224" s="332"/>
      <c r="C224" s="332"/>
      <c r="D224" s="332"/>
      <c r="E224" s="400"/>
      <c r="F224" s="53"/>
      <c r="G224" s="320" t="s">
        <v>274</v>
      </c>
      <c r="H224" s="54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48"/>
      <c r="AC224" s="49"/>
      <c r="AD224" s="74"/>
      <c r="AE224" s="127"/>
      <c r="AF224" s="196"/>
      <c r="AG224" s="189"/>
      <c r="AH224" s="188"/>
      <c r="AI224" s="188"/>
      <c r="AJ224" s="189"/>
      <c r="AK224" s="188"/>
      <c r="AL224" s="188"/>
      <c r="AM224" s="183"/>
      <c r="AN224" s="183"/>
      <c r="AO224" s="183"/>
      <c r="AP224" s="183"/>
      <c r="AQ224" s="273"/>
    </row>
    <row r="225" spans="1:43" x14ac:dyDescent="0.25">
      <c r="A225" s="402"/>
      <c r="B225" s="332"/>
      <c r="C225" s="332"/>
      <c r="D225" s="332"/>
      <c r="E225" s="400"/>
      <c r="F225" s="53" t="s">
        <v>42</v>
      </c>
      <c r="G225" s="101" t="s">
        <v>276</v>
      </c>
      <c r="H225" s="54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48"/>
      <c r="AC225" s="49"/>
      <c r="AD225" s="34">
        <f>SUM(AD226:AD233)</f>
        <v>136460000</v>
      </c>
      <c r="AE225" s="63">
        <f t="shared" ref="AE225:AE233" si="24">(AD225/AD$13)*100</f>
        <v>1.0341800249674218</v>
      </c>
      <c r="AF225" s="196"/>
      <c r="AG225" s="189"/>
      <c r="AH225" s="188"/>
      <c r="AI225" s="188"/>
      <c r="AJ225" s="189"/>
      <c r="AK225" s="188"/>
      <c r="AL225" s="188"/>
      <c r="AM225" s="183"/>
      <c r="AN225" s="183"/>
      <c r="AO225" s="183"/>
      <c r="AP225" s="183"/>
      <c r="AQ225" s="273"/>
    </row>
    <row r="226" spans="1:43" x14ac:dyDescent="0.25">
      <c r="A226" s="402"/>
      <c r="B226" s="332"/>
      <c r="C226" s="332"/>
      <c r="D226" s="332"/>
      <c r="E226" s="400"/>
      <c r="F226" s="53"/>
      <c r="G226" s="320" t="s">
        <v>273</v>
      </c>
      <c r="H226" s="54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48"/>
      <c r="AC226" s="49"/>
      <c r="AD226" s="74">
        <f>7000000+240000+210000+198000+522000+4800000+4800000+400000+500000+500000</f>
        <v>19170000</v>
      </c>
      <c r="AE226" s="63">
        <f t="shared" si="24"/>
        <v>0.14528236170764677</v>
      </c>
      <c r="AF226" s="196"/>
      <c r="AG226" s="189"/>
      <c r="AH226" s="188"/>
      <c r="AI226" s="188"/>
      <c r="AJ226" s="189">
        <f>+AD226</f>
        <v>19170000</v>
      </c>
      <c r="AK226" s="188"/>
      <c r="AL226" s="188"/>
      <c r="AM226" s="183"/>
      <c r="AN226" s="183"/>
      <c r="AO226" s="183"/>
      <c r="AP226" s="183"/>
      <c r="AQ226" s="273"/>
    </row>
    <row r="227" spans="1:43" x14ac:dyDescent="0.25">
      <c r="A227" s="402"/>
      <c r="B227" s="332"/>
      <c r="C227" s="332"/>
      <c r="D227" s="332"/>
      <c r="E227" s="400"/>
      <c r="F227" s="53"/>
      <c r="G227" s="320" t="s">
        <v>275</v>
      </c>
      <c r="H227" s="54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48"/>
      <c r="AC227" s="49"/>
      <c r="AD227" s="74">
        <f>7000000+240000+210000+198000+522000+4800000+2400000+400000+500000+500000</f>
        <v>16770000</v>
      </c>
      <c r="AE227" s="63">
        <f t="shared" si="24"/>
        <v>0.12709364662687722</v>
      </c>
      <c r="AF227" s="196"/>
      <c r="AG227" s="189"/>
      <c r="AH227" s="188"/>
      <c r="AI227" s="188"/>
      <c r="AJ227" s="189">
        <f>+AD227</f>
        <v>16770000</v>
      </c>
      <c r="AK227" s="188"/>
      <c r="AL227" s="188"/>
      <c r="AM227" s="183"/>
      <c r="AN227" s="183"/>
      <c r="AO227" s="183"/>
      <c r="AP227" s="183"/>
      <c r="AQ227" s="273"/>
    </row>
    <row r="228" spans="1:43" x14ac:dyDescent="0.25">
      <c r="A228" s="402"/>
      <c r="B228" s="332"/>
      <c r="C228" s="332"/>
      <c r="D228" s="332"/>
      <c r="E228" s="400"/>
      <c r="F228" s="53"/>
      <c r="G228" s="321" t="s">
        <v>277</v>
      </c>
      <c r="H228" s="54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48"/>
      <c r="AC228" s="49"/>
      <c r="AD228" s="74">
        <f>8000000+240000+210000+198000+522000+4800000+4800000+400000+500000+500000</f>
        <v>20170000</v>
      </c>
      <c r="AE228" s="63">
        <f t="shared" si="24"/>
        <v>0.15286099299130074</v>
      </c>
      <c r="AF228" s="196"/>
      <c r="AG228" s="189"/>
      <c r="AH228" s="188">
        <f>+AD228</f>
        <v>20170000</v>
      </c>
      <c r="AI228" s="188"/>
      <c r="AJ228" s="189"/>
      <c r="AK228" s="188"/>
      <c r="AL228" s="188"/>
      <c r="AM228" s="183"/>
      <c r="AN228" s="183"/>
      <c r="AO228" s="183"/>
      <c r="AP228" s="183"/>
      <c r="AQ228" s="273"/>
    </row>
    <row r="229" spans="1:43" x14ac:dyDescent="0.25">
      <c r="A229" s="402"/>
      <c r="B229" s="332"/>
      <c r="C229" s="332"/>
      <c r="D229" s="332"/>
      <c r="E229" s="400"/>
      <c r="F229" s="53"/>
      <c r="G229" s="320" t="s">
        <v>278</v>
      </c>
      <c r="H229" s="54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48"/>
      <c r="AC229" s="49"/>
      <c r="AD229" s="74">
        <f>7000000+240000+210000+198000+522000+4800000+4800000+400000+500000+500000</f>
        <v>19170000</v>
      </c>
      <c r="AE229" s="63">
        <f t="shared" si="24"/>
        <v>0.14528236170764677</v>
      </c>
      <c r="AF229" s="196"/>
      <c r="AG229" s="189"/>
      <c r="AH229" s="188">
        <f>+AD229</f>
        <v>19170000</v>
      </c>
      <c r="AI229" s="188"/>
      <c r="AJ229" s="189"/>
      <c r="AK229" s="188"/>
      <c r="AL229" s="188"/>
      <c r="AM229" s="183"/>
      <c r="AN229" s="183"/>
      <c r="AO229" s="183"/>
      <c r="AP229" s="183"/>
      <c r="AQ229" s="273"/>
    </row>
    <row r="230" spans="1:43" x14ac:dyDescent="0.25">
      <c r="A230" s="402"/>
      <c r="B230" s="332"/>
      <c r="C230" s="332"/>
      <c r="D230" s="332"/>
      <c r="E230" s="400"/>
      <c r="F230" s="53"/>
      <c r="G230" s="321" t="s">
        <v>282</v>
      </c>
      <c r="H230" s="54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48"/>
      <c r="AC230" s="49"/>
      <c r="AD230" s="74">
        <f>3000000+240000+210000+198000+522000</f>
        <v>4170000</v>
      </c>
      <c r="AE230" s="63">
        <f t="shared" si="24"/>
        <v>3.1602892452837088E-2</v>
      </c>
      <c r="AF230" s="196"/>
      <c r="AG230" s="189"/>
      <c r="AH230" s="188"/>
      <c r="AI230" s="188">
        <f>+AD230</f>
        <v>4170000</v>
      </c>
      <c r="AJ230" s="189"/>
      <c r="AK230" s="188"/>
      <c r="AL230" s="188"/>
      <c r="AM230" s="183"/>
      <c r="AN230" s="183"/>
      <c r="AO230" s="183"/>
      <c r="AP230" s="183"/>
      <c r="AQ230" s="273"/>
    </row>
    <row r="231" spans="1:43" x14ac:dyDescent="0.25">
      <c r="A231" s="402"/>
      <c r="B231" s="332"/>
      <c r="C231" s="332"/>
      <c r="D231" s="332"/>
      <c r="E231" s="400"/>
      <c r="F231" s="53"/>
      <c r="G231" s="321" t="s">
        <v>279</v>
      </c>
      <c r="H231" s="54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48"/>
      <c r="AC231" s="49"/>
      <c r="AD231" s="74">
        <f>3500000+240000+210000+198000+522000+2400000+2400000+200000+250000+250000</f>
        <v>10170000</v>
      </c>
      <c r="AE231" s="63">
        <f t="shared" si="24"/>
        <v>7.7074680154760947E-2</v>
      </c>
      <c r="AF231" s="196"/>
      <c r="AG231" s="189"/>
      <c r="AH231" s="188"/>
      <c r="AI231" s="188">
        <f>+AD231</f>
        <v>10170000</v>
      </c>
      <c r="AJ231" s="189"/>
      <c r="AK231" s="188"/>
      <c r="AL231" s="188"/>
      <c r="AM231" s="183"/>
      <c r="AN231" s="183"/>
      <c r="AO231" s="183"/>
      <c r="AP231" s="183"/>
      <c r="AQ231" s="273"/>
    </row>
    <row r="232" spans="1:43" x14ac:dyDescent="0.25">
      <c r="A232" s="402"/>
      <c r="B232" s="332"/>
      <c r="C232" s="332"/>
      <c r="D232" s="332"/>
      <c r="E232" s="400"/>
      <c r="F232" s="53"/>
      <c r="G232" s="321" t="s">
        <v>280</v>
      </c>
      <c r="H232" s="54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48"/>
      <c r="AC232" s="49"/>
      <c r="AD232" s="74">
        <f>5000000+240000+210000+198000+522000+6000000+1200000+200000+250000+250000</f>
        <v>14070000</v>
      </c>
      <c r="AE232" s="63">
        <f t="shared" si="24"/>
        <v>0.10663134216101146</v>
      </c>
      <c r="AF232" s="196"/>
      <c r="AG232" s="189"/>
      <c r="AH232" s="188"/>
      <c r="AI232" s="188"/>
      <c r="AJ232" s="189"/>
      <c r="AK232" s="188"/>
      <c r="AL232" s="188">
        <f>+AD232</f>
        <v>14070000</v>
      </c>
      <c r="AM232" s="183"/>
      <c r="AN232" s="183"/>
      <c r="AO232" s="183"/>
      <c r="AP232" s="183"/>
      <c r="AQ232" s="273"/>
    </row>
    <row r="233" spans="1:43" x14ac:dyDescent="0.25">
      <c r="A233" s="402"/>
      <c r="B233" s="332"/>
      <c r="C233" s="332"/>
      <c r="D233" s="332"/>
      <c r="E233" s="400"/>
      <c r="F233" s="53"/>
      <c r="G233" s="321" t="s">
        <v>281</v>
      </c>
      <c r="H233" s="54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48"/>
      <c r="AC233" s="49"/>
      <c r="AD233" s="74">
        <f>12000000+240000+210000+198000+522000+10800000+600000+250000+750000+7200000</f>
        <v>32770000</v>
      </c>
      <c r="AE233" s="63">
        <f t="shared" si="24"/>
        <v>0.24835174716534089</v>
      </c>
      <c r="AF233" s="196"/>
      <c r="AG233" s="189"/>
      <c r="AH233" s="188"/>
      <c r="AI233" s="188"/>
      <c r="AJ233" s="189"/>
      <c r="AK233" s="188">
        <f>+AD233</f>
        <v>32770000</v>
      </c>
      <c r="AL233" s="188"/>
      <c r="AM233" s="183"/>
      <c r="AN233" s="183"/>
      <c r="AO233" s="183"/>
      <c r="AP233" s="183"/>
      <c r="AQ233" s="273"/>
    </row>
    <row r="234" spans="1:43" x14ac:dyDescent="0.25">
      <c r="A234" s="402"/>
      <c r="B234" s="332"/>
      <c r="C234" s="332"/>
      <c r="D234" s="332"/>
      <c r="E234" s="400"/>
      <c r="F234" s="53"/>
      <c r="G234" s="320"/>
      <c r="H234" s="54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48"/>
      <c r="AC234" s="49"/>
      <c r="AD234" s="74"/>
      <c r="AE234" s="127"/>
      <c r="AF234" s="196"/>
      <c r="AG234" s="189"/>
      <c r="AH234" s="188"/>
      <c r="AI234" s="188"/>
      <c r="AJ234" s="189"/>
      <c r="AK234" s="188"/>
      <c r="AL234" s="188"/>
      <c r="AM234" s="183"/>
      <c r="AN234" s="183"/>
      <c r="AO234" s="183"/>
      <c r="AP234" s="183"/>
      <c r="AQ234" s="273"/>
    </row>
    <row r="235" spans="1:43" x14ac:dyDescent="0.25">
      <c r="A235" s="402"/>
      <c r="B235" s="332"/>
      <c r="C235" s="332"/>
      <c r="D235" s="332"/>
      <c r="E235" s="400"/>
      <c r="F235" s="53" t="s">
        <v>43</v>
      </c>
      <c r="G235" s="101" t="s">
        <v>176</v>
      </c>
      <c r="H235" s="54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48"/>
      <c r="AC235" s="49"/>
      <c r="AD235" s="74">
        <v>8244000</v>
      </c>
      <c r="AE235" s="63">
        <f>(AD235/AD$13)*100</f>
        <v>6.2478236302443389E-2</v>
      </c>
      <c r="AF235" s="196"/>
      <c r="AG235" s="189"/>
      <c r="AH235" s="188"/>
      <c r="AI235" s="188"/>
      <c r="AJ235" s="189"/>
      <c r="AK235" s="188"/>
      <c r="AL235" s="188"/>
      <c r="AM235" s="72"/>
      <c r="AN235" s="183">
        <f>+AD235</f>
        <v>8244000</v>
      </c>
      <c r="AO235" s="183"/>
      <c r="AP235" s="183"/>
      <c r="AQ235" s="273"/>
    </row>
    <row r="236" spans="1:43" x14ac:dyDescent="0.25">
      <c r="A236" s="402"/>
      <c r="B236" s="332"/>
      <c r="C236" s="332"/>
      <c r="D236" s="332"/>
      <c r="E236" s="400"/>
      <c r="F236" s="53" t="s">
        <v>44</v>
      </c>
      <c r="G236" s="101" t="s">
        <v>177</v>
      </c>
      <c r="H236" s="54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48"/>
      <c r="AC236" s="49"/>
      <c r="AD236" s="74">
        <v>3020000</v>
      </c>
      <c r="AE236" s="63">
        <f>(AD236/AD$13)*100</f>
        <v>2.2887466476635011E-2</v>
      </c>
      <c r="AF236" s="196"/>
      <c r="AG236" s="189"/>
      <c r="AH236" s="188"/>
      <c r="AI236" s="188"/>
      <c r="AJ236" s="189"/>
      <c r="AK236" s="188">
        <f>+AD236</f>
        <v>3020000</v>
      </c>
      <c r="AL236" s="72"/>
      <c r="AM236" s="183"/>
      <c r="AN236" s="183"/>
      <c r="AO236" s="183"/>
      <c r="AP236" s="183"/>
      <c r="AQ236" s="273"/>
    </row>
    <row r="237" spans="1:43" x14ac:dyDescent="0.25">
      <c r="A237" s="402"/>
      <c r="B237" s="332"/>
      <c r="C237" s="332"/>
      <c r="D237" s="332"/>
      <c r="E237" s="400"/>
      <c r="F237" s="53"/>
      <c r="G237" s="54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48"/>
      <c r="AC237" s="49"/>
      <c r="AD237" s="74"/>
      <c r="AE237" s="127"/>
      <c r="AF237" s="196"/>
      <c r="AG237" s="189"/>
      <c r="AH237" s="188"/>
      <c r="AI237" s="188"/>
      <c r="AJ237" s="189"/>
      <c r="AK237" s="188"/>
      <c r="AL237" s="188"/>
      <c r="AM237" s="183"/>
      <c r="AN237" s="183"/>
      <c r="AO237" s="183"/>
      <c r="AP237" s="183"/>
      <c r="AQ237" s="273"/>
    </row>
    <row r="238" spans="1:43" x14ac:dyDescent="0.25">
      <c r="A238" s="402">
        <v>5</v>
      </c>
      <c r="B238" s="332">
        <v>2</v>
      </c>
      <c r="C238" s="332">
        <v>1</v>
      </c>
      <c r="D238" s="333" t="s">
        <v>5</v>
      </c>
      <c r="E238" s="403" t="s">
        <v>10</v>
      </c>
      <c r="F238" s="57" t="s">
        <v>178</v>
      </c>
      <c r="G238" s="58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48"/>
      <c r="AC238" s="49"/>
      <c r="AD238" s="34">
        <f>+AD239+AD241+AD243</f>
        <v>6660000</v>
      </c>
      <c r="AE238" s="63">
        <f>(AD238/AD$13)*100</f>
        <v>5.0473684349135496E-2</v>
      </c>
      <c r="AF238" s="196"/>
      <c r="AG238" s="189"/>
      <c r="AH238" s="188"/>
      <c r="AI238" s="188"/>
      <c r="AJ238" s="189"/>
      <c r="AK238" s="188"/>
      <c r="AL238" s="188"/>
      <c r="AM238" s="183"/>
      <c r="AN238" s="183"/>
      <c r="AO238" s="183"/>
      <c r="AP238" s="183"/>
      <c r="AQ238" s="273"/>
    </row>
    <row r="239" spans="1:43" x14ac:dyDescent="0.25">
      <c r="A239" s="402"/>
      <c r="B239" s="332"/>
      <c r="C239" s="332"/>
      <c r="D239" s="332"/>
      <c r="E239" s="400"/>
      <c r="F239" s="53" t="s">
        <v>37</v>
      </c>
      <c r="G239" s="54" t="s">
        <v>179</v>
      </c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50"/>
      <c r="AC239" s="51"/>
      <c r="AD239" s="74">
        <v>1980000</v>
      </c>
      <c r="AE239" s="63">
        <f>(AD239/AD$13)*100</f>
        <v>1.5005689941634877E-2</v>
      </c>
      <c r="AF239" s="196"/>
      <c r="AG239" s="189"/>
      <c r="AH239" s="188">
        <f>+AD239</f>
        <v>1980000</v>
      </c>
      <c r="AI239" s="72"/>
      <c r="AJ239" s="189"/>
      <c r="AK239" s="188"/>
      <c r="AL239" s="188"/>
      <c r="AM239" s="183"/>
      <c r="AN239" s="183"/>
      <c r="AO239" s="183"/>
      <c r="AP239" s="183"/>
      <c r="AQ239" s="273"/>
    </row>
    <row r="240" spans="1:43" x14ac:dyDescent="0.25">
      <c r="A240" s="414">
        <v>5</v>
      </c>
      <c r="B240" s="415">
        <v>2</v>
      </c>
      <c r="C240" s="415">
        <v>1</v>
      </c>
      <c r="D240" s="416" t="s">
        <v>5</v>
      </c>
      <c r="E240" s="417" t="s">
        <v>52</v>
      </c>
      <c r="F240" s="163" t="s">
        <v>180</v>
      </c>
      <c r="G240" s="163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8"/>
      <c r="AC240" s="169"/>
      <c r="AD240" s="165">
        <f>+AD241</f>
        <v>1980000</v>
      </c>
      <c r="AE240" s="63">
        <f>(AD240/AD$13)*100</f>
        <v>1.5005689941634877E-2</v>
      </c>
      <c r="AF240" s="196"/>
      <c r="AG240" s="189"/>
      <c r="AH240" s="188"/>
      <c r="AI240" s="188"/>
      <c r="AJ240" s="189"/>
      <c r="AK240" s="188"/>
      <c r="AL240" s="188"/>
      <c r="AM240" s="183"/>
      <c r="AN240" s="183"/>
      <c r="AO240" s="183"/>
      <c r="AP240" s="183"/>
      <c r="AQ240" s="273"/>
    </row>
    <row r="241" spans="1:43" x14ac:dyDescent="0.25">
      <c r="A241" s="402"/>
      <c r="B241" s="332"/>
      <c r="C241" s="332"/>
      <c r="D241" s="332"/>
      <c r="E241" s="400"/>
      <c r="F241" s="105" t="s">
        <v>37</v>
      </c>
      <c r="G241" s="106" t="s">
        <v>181</v>
      </c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319"/>
      <c r="S241" s="319" t="s">
        <v>266</v>
      </c>
      <c r="T241" s="319"/>
      <c r="U241" s="319"/>
      <c r="V241" s="319"/>
      <c r="W241" s="319"/>
      <c r="X241" s="319"/>
      <c r="Y241" s="319"/>
      <c r="Z241" s="319"/>
      <c r="AA241" s="319"/>
      <c r="AB241" s="319"/>
      <c r="AC241" s="107"/>
      <c r="AD241" s="74">
        <v>1980000</v>
      </c>
      <c r="AE241" s="63">
        <f>(AD241/AD$13)*100</f>
        <v>1.5005689941634877E-2</v>
      </c>
      <c r="AF241" s="196"/>
      <c r="AG241" s="189"/>
      <c r="AH241" s="188"/>
      <c r="AI241" s="188"/>
      <c r="AJ241" s="189"/>
      <c r="AK241" s="188"/>
      <c r="AL241" s="188"/>
      <c r="AM241" s="183">
        <f>+AD241</f>
        <v>1980000</v>
      </c>
      <c r="AN241" s="183"/>
      <c r="AO241" s="183"/>
      <c r="AP241" s="183"/>
      <c r="AQ241" s="273"/>
    </row>
    <row r="242" spans="1:43" x14ac:dyDescent="0.25">
      <c r="A242" s="402"/>
      <c r="B242" s="332"/>
      <c r="C242" s="332"/>
      <c r="D242" s="332"/>
      <c r="E242" s="400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7"/>
      <c r="AD242" s="74"/>
      <c r="AE242" s="127"/>
      <c r="AF242" s="196"/>
      <c r="AG242" s="189"/>
      <c r="AH242" s="188"/>
      <c r="AI242" s="188"/>
      <c r="AJ242" s="189"/>
      <c r="AK242" s="188"/>
      <c r="AL242" s="188"/>
      <c r="AM242" s="183"/>
      <c r="AN242" s="183"/>
      <c r="AO242" s="183"/>
      <c r="AP242" s="183"/>
      <c r="AQ242" s="273"/>
    </row>
    <row r="243" spans="1:43" x14ac:dyDescent="0.25">
      <c r="A243" s="402"/>
      <c r="B243" s="332"/>
      <c r="C243" s="332"/>
      <c r="D243" s="332"/>
      <c r="E243" s="400"/>
      <c r="F243" s="167" t="s">
        <v>37</v>
      </c>
      <c r="G243" s="137" t="s">
        <v>182</v>
      </c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319"/>
      <c r="S243" s="319" t="s">
        <v>267</v>
      </c>
      <c r="T243" s="319"/>
      <c r="U243" s="319"/>
      <c r="V243" s="319"/>
      <c r="W243" s="319"/>
      <c r="X243" s="319"/>
      <c r="Y243" s="319"/>
      <c r="Z243" s="319"/>
      <c r="AA243" s="319"/>
      <c r="AB243" s="319"/>
      <c r="AC243" s="107"/>
      <c r="AD243" s="74">
        <v>2700000</v>
      </c>
      <c r="AE243" s="63">
        <f>(AD243/AD$13)*100</f>
        <v>2.0462304465865742E-2</v>
      </c>
      <c r="AF243" s="196"/>
      <c r="AG243" s="189"/>
      <c r="AH243" s="188"/>
      <c r="AI243" s="188"/>
      <c r="AJ243" s="72"/>
      <c r="AK243" s="188"/>
      <c r="AL243" s="188"/>
      <c r="AM243" s="183"/>
      <c r="AN243" s="183"/>
      <c r="AO243" s="183"/>
      <c r="AP243" s="189">
        <f>+AD243</f>
        <v>2700000</v>
      </c>
      <c r="AQ243" s="273"/>
    </row>
    <row r="244" spans="1:43" x14ac:dyDescent="0.25">
      <c r="A244" s="402"/>
      <c r="B244" s="332"/>
      <c r="C244" s="332"/>
      <c r="D244" s="332"/>
      <c r="E244" s="400"/>
      <c r="F244" s="54"/>
      <c r="G244" s="54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50"/>
      <c r="AC244" s="51"/>
      <c r="AD244" s="74"/>
      <c r="AE244" s="127"/>
      <c r="AF244" s="196"/>
      <c r="AG244" s="189"/>
      <c r="AH244" s="188"/>
      <c r="AI244" s="188"/>
      <c r="AJ244" s="189"/>
      <c r="AK244" s="188"/>
      <c r="AL244" s="188"/>
      <c r="AM244" s="183"/>
      <c r="AN244" s="183"/>
      <c r="AO244" s="183"/>
      <c r="AP244" s="183"/>
      <c r="AQ244" s="273"/>
    </row>
    <row r="245" spans="1:43" x14ac:dyDescent="0.25">
      <c r="A245" s="402">
        <v>5</v>
      </c>
      <c r="B245" s="332">
        <v>2</v>
      </c>
      <c r="C245" s="332">
        <v>2</v>
      </c>
      <c r="D245" s="332" t="s">
        <v>33</v>
      </c>
      <c r="E245" s="400"/>
      <c r="F245" s="57" t="s">
        <v>11</v>
      </c>
      <c r="G245" s="58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50"/>
      <c r="AC245" s="51"/>
      <c r="AD245" s="34">
        <f>+AD246+AD255+AD259+AD263+AD269+AD301+AD305+AD308+AD315</f>
        <v>1495330100</v>
      </c>
      <c r="AE245" s="63">
        <f>(AD245/AD$13)*100</f>
        <v>11.332555475249432</v>
      </c>
      <c r="AF245" s="196"/>
      <c r="AG245" s="189"/>
      <c r="AH245" s="188"/>
      <c r="AI245" s="188"/>
      <c r="AJ245" s="189"/>
      <c r="AK245" s="188"/>
      <c r="AL245" s="188"/>
      <c r="AM245" s="183"/>
      <c r="AN245" s="183"/>
      <c r="AO245" s="183"/>
      <c r="AP245" s="183"/>
      <c r="AQ245" s="273"/>
    </row>
    <row r="246" spans="1:43" x14ac:dyDescent="0.25">
      <c r="A246" s="402">
        <v>5</v>
      </c>
      <c r="B246" s="332">
        <v>2</v>
      </c>
      <c r="C246" s="332">
        <v>2</v>
      </c>
      <c r="D246" s="333" t="s">
        <v>5</v>
      </c>
      <c r="E246" s="400"/>
      <c r="F246" s="57" t="s">
        <v>17</v>
      </c>
      <c r="G246" s="58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50"/>
      <c r="AC246" s="51"/>
      <c r="AD246" s="34">
        <f>+AD247+AD250</f>
        <v>302887600</v>
      </c>
      <c r="AE246" s="63">
        <f>(AD246/AD$13)*100</f>
        <v>2.2954734407908726</v>
      </c>
      <c r="AF246" s="196"/>
      <c r="AG246" s="189"/>
      <c r="AH246" s="188"/>
      <c r="AI246" s="188"/>
      <c r="AJ246" s="189"/>
      <c r="AK246" s="188"/>
      <c r="AL246" s="188"/>
      <c r="AM246" s="183"/>
      <c r="AN246" s="183"/>
      <c r="AO246" s="183"/>
      <c r="AP246" s="183"/>
      <c r="AQ246" s="273"/>
    </row>
    <row r="247" spans="1:43" x14ac:dyDescent="0.25">
      <c r="A247" s="402">
        <v>5</v>
      </c>
      <c r="B247" s="332">
        <v>2</v>
      </c>
      <c r="C247" s="332">
        <v>2</v>
      </c>
      <c r="D247" s="333" t="s">
        <v>5</v>
      </c>
      <c r="E247" s="403" t="s">
        <v>5</v>
      </c>
      <c r="F247" s="57" t="s">
        <v>38</v>
      </c>
      <c r="G247" s="58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50"/>
      <c r="AC247" s="51"/>
      <c r="AD247" s="74">
        <f>+AD248</f>
        <v>184387600</v>
      </c>
      <c r="AE247" s="63">
        <f>(AD247/AD$13)*100</f>
        <v>1.3974056336778762</v>
      </c>
      <c r="AF247" s="196"/>
      <c r="AG247" s="189"/>
      <c r="AH247" s="188"/>
      <c r="AI247" s="188"/>
      <c r="AJ247" s="189"/>
      <c r="AK247" s="188"/>
      <c r="AL247" s="188"/>
      <c r="AM247" s="183"/>
      <c r="AN247" s="183"/>
      <c r="AO247" s="183"/>
      <c r="AP247" s="183"/>
      <c r="AQ247" s="273"/>
    </row>
    <row r="248" spans="1:43" x14ac:dyDescent="0.25">
      <c r="A248" s="402"/>
      <c r="B248" s="332"/>
      <c r="C248" s="332"/>
      <c r="D248" s="333"/>
      <c r="E248" s="403"/>
      <c r="F248" s="95"/>
      <c r="G248" s="54" t="s">
        <v>183</v>
      </c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50"/>
      <c r="AC248" s="51"/>
      <c r="AD248" s="74">
        <v>184387600</v>
      </c>
      <c r="AE248" s="63">
        <f>(AD248/AD$13)*100</f>
        <v>1.3974056336778762</v>
      </c>
      <c r="AF248" s="196"/>
      <c r="AG248" s="189">
        <f>+AD248/9</f>
        <v>20487511.111111112</v>
      </c>
      <c r="AH248" s="188">
        <f>+AG248</f>
        <v>20487511.111111112</v>
      </c>
      <c r="AI248" s="188">
        <f t="shared" ref="AI248:AO248" si="25">+AH248</f>
        <v>20487511.111111112</v>
      </c>
      <c r="AJ248" s="188">
        <f t="shared" si="25"/>
        <v>20487511.111111112</v>
      </c>
      <c r="AK248" s="188">
        <f t="shared" si="25"/>
        <v>20487511.111111112</v>
      </c>
      <c r="AL248" s="188">
        <f t="shared" si="25"/>
        <v>20487511.111111112</v>
      </c>
      <c r="AM248" s="188">
        <f t="shared" si="25"/>
        <v>20487511.111111112</v>
      </c>
      <c r="AN248" s="188">
        <f t="shared" si="25"/>
        <v>20487511.111111112</v>
      </c>
      <c r="AO248" s="188">
        <f t="shared" si="25"/>
        <v>20487511.111111112</v>
      </c>
      <c r="AP248" s="183"/>
      <c r="AQ248" s="273"/>
    </row>
    <row r="249" spans="1:43" x14ac:dyDescent="0.25">
      <c r="A249" s="402"/>
      <c r="B249" s="332"/>
      <c r="C249" s="332"/>
      <c r="D249" s="332"/>
      <c r="E249" s="400"/>
      <c r="F249" s="95"/>
      <c r="G249" s="101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50"/>
      <c r="AC249" s="51"/>
      <c r="AD249" s="74"/>
      <c r="AE249" s="127">
        <f>(AD249/AD$11)*100</f>
        <v>0</v>
      </c>
      <c r="AF249" s="196"/>
      <c r="AG249" s="189"/>
      <c r="AH249" s="188"/>
      <c r="AI249" s="188"/>
      <c r="AJ249" s="189"/>
      <c r="AK249" s="188"/>
      <c r="AL249" s="188"/>
      <c r="AM249" s="183"/>
      <c r="AN249" s="183"/>
      <c r="AO249" s="183"/>
      <c r="AP249" s="183"/>
      <c r="AQ249" s="273"/>
    </row>
    <row r="250" spans="1:43" x14ac:dyDescent="0.25">
      <c r="A250" s="402">
        <v>5</v>
      </c>
      <c r="B250" s="332">
        <v>2</v>
      </c>
      <c r="C250" s="332">
        <v>2</v>
      </c>
      <c r="D250" s="333" t="s">
        <v>5</v>
      </c>
      <c r="E250" s="403" t="s">
        <v>184</v>
      </c>
      <c r="F250" s="57" t="s">
        <v>185</v>
      </c>
      <c r="G250" s="58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50"/>
      <c r="AC250" s="51"/>
      <c r="AD250" s="34">
        <f>+AD251+AD252+AD253+AD254</f>
        <v>118500000</v>
      </c>
      <c r="AE250" s="63">
        <f>(AD250/AD$13)*100</f>
        <v>0.89806780711299639</v>
      </c>
      <c r="AF250" s="196"/>
      <c r="AG250" s="189"/>
      <c r="AH250" s="188"/>
      <c r="AI250" s="188"/>
      <c r="AJ250" s="189"/>
      <c r="AK250" s="188"/>
      <c r="AL250" s="188"/>
      <c r="AM250" s="183"/>
      <c r="AN250" s="183"/>
      <c r="AO250" s="183"/>
      <c r="AP250" s="183"/>
      <c r="AQ250" s="273"/>
    </row>
    <row r="251" spans="1:43" x14ac:dyDescent="0.25">
      <c r="A251" s="402"/>
      <c r="B251" s="332"/>
      <c r="C251" s="332"/>
      <c r="D251" s="333"/>
      <c r="E251" s="403"/>
      <c r="F251" s="95" t="s">
        <v>37</v>
      </c>
      <c r="G251" s="54" t="s">
        <v>186</v>
      </c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50"/>
      <c r="AC251" s="51"/>
      <c r="AD251" s="74">
        <v>40000000</v>
      </c>
      <c r="AE251" s="63">
        <f>(AD251/AD$13)*100</f>
        <v>0.30314525134615911</v>
      </c>
      <c r="AF251" s="196"/>
      <c r="AG251" s="189"/>
      <c r="AH251" s="188"/>
      <c r="AI251" s="188"/>
      <c r="AJ251" s="189"/>
      <c r="AK251" s="188">
        <f>+AD251</f>
        <v>40000000</v>
      </c>
      <c r="AL251" s="188"/>
      <c r="AM251" s="183"/>
      <c r="AN251" s="183"/>
      <c r="AO251" s="183"/>
      <c r="AP251" s="183"/>
      <c r="AQ251" s="273"/>
    </row>
    <row r="252" spans="1:43" x14ac:dyDescent="0.25">
      <c r="A252" s="402"/>
      <c r="B252" s="332"/>
      <c r="C252" s="332"/>
      <c r="D252" s="332"/>
      <c r="E252" s="400"/>
      <c r="F252" s="95" t="s">
        <v>37</v>
      </c>
      <c r="G252" s="54" t="s">
        <v>187</v>
      </c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50"/>
      <c r="AC252" s="51"/>
      <c r="AD252" s="74">
        <v>40000000</v>
      </c>
      <c r="AE252" s="63">
        <f>(AD252/AD$13)*100</f>
        <v>0.30314525134615911</v>
      </c>
      <c r="AF252" s="196"/>
      <c r="AG252" s="189"/>
      <c r="AH252" s="188"/>
      <c r="AI252" s="188"/>
      <c r="AJ252" s="189"/>
      <c r="AK252" s="188">
        <f>+AD252</f>
        <v>40000000</v>
      </c>
      <c r="AL252" s="188"/>
      <c r="AM252" s="183"/>
      <c r="AN252" s="183"/>
      <c r="AO252" s="183"/>
      <c r="AP252" s="183"/>
      <c r="AQ252" s="273"/>
    </row>
    <row r="253" spans="1:43" x14ac:dyDescent="0.25">
      <c r="A253" s="402"/>
      <c r="B253" s="332"/>
      <c r="C253" s="332"/>
      <c r="D253" s="332"/>
      <c r="E253" s="400"/>
      <c r="F253" s="95" t="s">
        <v>37</v>
      </c>
      <c r="G253" s="54" t="s">
        <v>188</v>
      </c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50"/>
      <c r="AC253" s="51"/>
      <c r="AD253" s="74">
        <v>38500000</v>
      </c>
      <c r="AE253" s="63">
        <f>(AD253/AD$13)*100</f>
        <v>0.29177730442067817</v>
      </c>
      <c r="AF253" s="196"/>
      <c r="AG253" s="189"/>
      <c r="AH253" s="188"/>
      <c r="AI253" s="188"/>
      <c r="AJ253" s="189"/>
      <c r="AK253" s="188"/>
      <c r="AL253" s="188"/>
      <c r="AM253" s="183"/>
      <c r="AN253" s="183">
        <f>+AD253</f>
        <v>38500000</v>
      </c>
      <c r="AO253" s="183"/>
      <c r="AP253" s="183"/>
      <c r="AQ253" s="273"/>
    </row>
    <row r="254" spans="1:43" x14ac:dyDescent="0.25">
      <c r="A254" s="402"/>
      <c r="B254" s="332"/>
      <c r="C254" s="332"/>
      <c r="D254" s="332"/>
      <c r="E254" s="400"/>
      <c r="F254" s="91"/>
      <c r="G254" s="54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50"/>
      <c r="AC254" s="51"/>
      <c r="AD254" s="74"/>
      <c r="AE254" s="127"/>
      <c r="AF254" s="196"/>
      <c r="AG254" s="189"/>
      <c r="AH254" s="188"/>
      <c r="AI254" s="188"/>
      <c r="AJ254" s="189"/>
      <c r="AK254" s="188"/>
      <c r="AL254" s="188"/>
      <c r="AM254" s="183"/>
      <c r="AN254" s="183"/>
      <c r="AO254" s="183"/>
      <c r="AP254" s="183"/>
      <c r="AQ254" s="273"/>
    </row>
    <row r="255" spans="1:43" x14ac:dyDescent="0.25">
      <c r="A255" s="402">
        <v>5</v>
      </c>
      <c r="B255" s="332">
        <v>2</v>
      </c>
      <c r="C255" s="332">
        <v>2</v>
      </c>
      <c r="D255" s="333" t="s">
        <v>10</v>
      </c>
      <c r="E255" s="400"/>
      <c r="F255" s="57" t="s">
        <v>47</v>
      </c>
      <c r="G255" s="58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50"/>
      <c r="AC255" s="51"/>
      <c r="AD255" s="34">
        <f>+AD256</f>
        <v>56850000</v>
      </c>
      <c r="AE255" s="63">
        <f t="shared" ref="AE255:AE261" si="26">(AD255/AD$13)*100</f>
        <v>0.43084518847572861</v>
      </c>
      <c r="AF255" s="196"/>
      <c r="AG255" s="189"/>
      <c r="AH255" s="188"/>
      <c r="AI255" s="188"/>
      <c r="AJ255" s="189"/>
      <c r="AK255" s="188"/>
      <c r="AL255" s="188"/>
      <c r="AM255" s="183"/>
      <c r="AN255" s="183"/>
      <c r="AO255" s="183"/>
      <c r="AP255" s="183"/>
      <c r="AQ255" s="273"/>
    </row>
    <row r="256" spans="1:43" x14ac:dyDescent="0.25">
      <c r="A256" s="402">
        <v>5</v>
      </c>
      <c r="B256" s="332">
        <v>2</v>
      </c>
      <c r="C256" s="332">
        <v>2</v>
      </c>
      <c r="D256" s="333" t="s">
        <v>10</v>
      </c>
      <c r="E256" s="403" t="s">
        <v>12</v>
      </c>
      <c r="F256" s="57" t="s">
        <v>189</v>
      </c>
      <c r="G256" s="58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50"/>
      <c r="AC256" s="51"/>
      <c r="AD256" s="34">
        <f>+AD257</f>
        <v>56850000</v>
      </c>
      <c r="AE256" s="63">
        <f t="shared" si="26"/>
        <v>0.43084518847572861</v>
      </c>
      <c r="AF256" s="196"/>
      <c r="AG256" s="189"/>
      <c r="AH256" s="188"/>
      <c r="AI256" s="188"/>
      <c r="AJ256" s="189"/>
      <c r="AK256" s="188"/>
      <c r="AL256" s="188"/>
      <c r="AM256" s="183"/>
      <c r="AN256" s="183"/>
      <c r="AO256" s="183"/>
      <c r="AP256" s="183"/>
      <c r="AQ256" s="273"/>
    </row>
    <row r="257" spans="1:43" x14ac:dyDescent="0.25">
      <c r="A257" s="402"/>
      <c r="B257" s="332"/>
      <c r="C257" s="332"/>
      <c r="D257" s="333"/>
      <c r="E257" s="403"/>
      <c r="F257" s="57" t="s">
        <v>37</v>
      </c>
      <c r="G257" s="54" t="s">
        <v>190</v>
      </c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50"/>
      <c r="AC257" s="51"/>
      <c r="AD257" s="74">
        <v>56850000</v>
      </c>
      <c r="AE257" s="63">
        <f t="shared" si="26"/>
        <v>0.43084518847572861</v>
      </c>
      <c r="AF257" s="196"/>
      <c r="AG257" s="189">
        <f>+AD257/9</f>
        <v>6316666.666666667</v>
      </c>
      <c r="AH257" s="188">
        <f>+AG257</f>
        <v>6316666.666666667</v>
      </c>
      <c r="AI257" s="188">
        <f t="shared" ref="AI257:AO257" si="27">+AH257</f>
        <v>6316666.666666667</v>
      </c>
      <c r="AJ257" s="188">
        <f t="shared" si="27"/>
        <v>6316666.666666667</v>
      </c>
      <c r="AK257" s="188">
        <f t="shared" si="27"/>
        <v>6316666.666666667</v>
      </c>
      <c r="AL257" s="188">
        <f t="shared" si="27"/>
        <v>6316666.666666667</v>
      </c>
      <c r="AM257" s="188">
        <f t="shared" si="27"/>
        <v>6316666.666666667</v>
      </c>
      <c r="AN257" s="188">
        <f t="shared" si="27"/>
        <v>6316666.666666667</v>
      </c>
      <c r="AO257" s="188">
        <f t="shared" si="27"/>
        <v>6316666.666666667</v>
      </c>
      <c r="AP257" s="183"/>
      <c r="AQ257" s="273"/>
    </row>
    <row r="258" spans="1:43" x14ac:dyDescent="0.25">
      <c r="A258" s="402"/>
      <c r="B258" s="332"/>
      <c r="C258" s="332"/>
      <c r="D258" s="333"/>
      <c r="E258" s="403"/>
      <c r="F258" s="57"/>
      <c r="G258" s="54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50"/>
      <c r="AC258" s="51"/>
      <c r="AD258" s="74"/>
      <c r="AE258" s="63">
        <f t="shared" si="26"/>
        <v>0</v>
      </c>
      <c r="AF258" s="196"/>
      <c r="AG258" s="189"/>
      <c r="AH258" s="188"/>
      <c r="AI258" s="188"/>
      <c r="AJ258" s="189"/>
      <c r="AK258" s="188"/>
      <c r="AL258" s="188"/>
      <c r="AM258" s="183"/>
      <c r="AN258" s="183"/>
      <c r="AO258" s="183"/>
      <c r="AP258" s="183"/>
      <c r="AQ258" s="273"/>
    </row>
    <row r="259" spans="1:43" x14ac:dyDescent="0.25">
      <c r="A259" s="402">
        <v>5</v>
      </c>
      <c r="B259" s="332">
        <v>2</v>
      </c>
      <c r="C259" s="332">
        <v>2</v>
      </c>
      <c r="D259" s="333" t="s">
        <v>52</v>
      </c>
      <c r="E259" s="400"/>
      <c r="F259" s="57" t="s">
        <v>191</v>
      </c>
      <c r="G259" s="58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50"/>
      <c r="AC259" s="51"/>
      <c r="AD259" s="34">
        <f>+AD260</f>
        <v>254820000</v>
      </c>
      <c r="AE259" s="63">
        <f t="shared" si="26"/>
        <v>1.9311868237007066</v>
      </c>
      <c r="AF259" s="196"/>
      <c r="AG259" s="189"/>
      <c r="AH259" s="188"/>
      <c r="AI259" s="188"/>
      <c r="AJ259" s="189"/>
      <c r="AK259" s="188"/>
      <c r="AL259" s="188"/>
      <c r="AM259" s="183"/>
      <c r="AN259" s="183"/>
      <c r="AO259" s="183"/>
      <c r="AP259" s="183"/>
      <c r="AQ259" s="273"/>
    </row>
    <row r="260" spans="1:43" x14ac:dyDescent="0.25">
      <c r="A260" s="402">
        <v>5</v>
      </c>
      <c r="B260" s="332">
        <v>2</v>
      </c>
      <c r="C260" s="332">
        <v>2</v>
      </c>
      <c r="D260" s="333" t="s">
        <v>52</v>
      </c>
      <c r="E260" s="403">
        <v>29</v>
      </c>
      <c r="F260" s="57" t="s">
        <v>192</v>
      </c>
      <c r="G260" s="58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50"/>
      <c r="AC260" s="51"/>
      <c r="AD260" s="34">
        <f>+AD261</f>
        <v>254820000</v>
      </c>
      <c r="AE260" s="63">
        <f t="shared" si="26"/>
        <v>1.9311868237007066</v>
      </c>
      <c r="AF260" s="196"/>
      <c r="AG260" s="189"/>
      <c r="AH260" s="188"/>
      <c r="AI260" s="188"/>
      <c r="AJ260" s="189"/>
      <c r="AK260" s="188"/>
      <c r="AL260" s="188"/>
      <c r="AM260" s="183"/>
      <c r="AN260" s="183"/>
      <c r="AO260" s="183"/>
      <c r="AP260" s="183"/>
      <c r="AQ260" s="273"/>
    </row>
    <row r="261" spans="1:43" x14ac:dyDescent="0.25">
      <c r="A261" s="402"/>
      <c r="B261" s="332"/>
      <c r="C261" s="332"/>
      <c r="D261" s="333"/>
      <c r="E261" s="403"/>
      <c r="F261" s="57" t="s">
        <v>37</v>
      </c>
      <c r="G261" s="54" t="s">
        <v>193</v>
      </c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50"/>
      <c r="AC261" s="51"/>
      <c r="AD261" s="74">
        <v>254820000</v>
      </c>
      <c r="AE261" s="63">
        <f t="shared" si="26"/>
        <v>1.9311868237007066</v>
      </c>
      <c r="AF261" s="196"/>
      <c r="AG261" s="189">
        <f>+AD261/10</f>
        <v>25482000</v>
      </c>
      <c r="AH261" s="188">
        <f>+AG261</f>
        <v>25482000</v>
      </c>
      <c r="AI261" s="188">
        <f t="shared" ref="AI261:AP261" si="28">+AH261</f>
        <v>25482000</v>
      </c>
      <c r="AJ261" s="188">
        <f t="shared" si="28"/>
        <v>25482000</v>
      </c>
      <c r="AK261" s="188">
        <f t="shared" si="28"/>
        <v>25482000</v>
      </c>
      <c r="AL261" s="188">
        <f t="shared" si="28"/>
        <v>25482000</v>
      </c>
      <c r="AM261" s="188">
        <f t="shared" si="28"/>
        <v>25482000</v>
      </c>
      <c r="AN261" s="188">
        <f t="shared" si="28"/>
        <v>25482000</v>
      </c>
      <c r="AO261" s="188">
        <f t="shared" si="28"/>
        <v>25482000</v>
      </c>
      <c r="AP261" s="188">
        <f t="shared" si="28"/>
        <v>25482000</v>
      </c>
      <c r="AQ261" s="273"/>
    </row>
    <row r="262" spans="1:43" x14ac:dyDescent="0.25">
      <c r="A262" s="402"/>
      <c r="B262" s="332"/>
      <c r="C262" s="332"/>
      <c r="D262" s="332"/>
      <c r="E262" s="400"/>
      <c r="F262" s="92"/>
      <c r="G262" s="54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48"/>
      <c r="AC262" s="49"/>
      <c r="AD262" s="74"/>
      <c r="AE262" s="127"/>
      <c r="AF262" s="196"/>
      <c r="AG262" s="189"/>
      <c r="AH262" s="188"/>
      <c r="AI262" s="188"/>
      <c r="AJ262" s="189"/>
      <c r="AK262" s="188"/>
      <c r="AL262" s="188"/>
      <c r="AM262" s="183"/>
      <c r="AN262" s="183"/>
      <c r="AO262" s="183"/>
      <c r="AP262" s="183"/>
      <c r="AQ262" s="273"/>
    </row>
    <row r="263" spans="1:43" x14ac:dyDescent="0.25">
      <c r="A263" s="402">
        <v>5</v>
      </c>
      <c r="B263" s="332">
        <v>2</v>
      </c>
      <c r="C263" s="332">
        <v>2</v>
      </c>
      <c r="D263" s="333" t="s">
        <v>12</v>
      </c>
      <c r="E263" s="400"/>
      <c r="F263" s="57" t="s">
        <v>16</v>
      </c>
      <c r="G263" s="58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48"/>
      <c r="AC263" s="49"/>
      <c r="AD263" s="34">
        <f>+AD264+AD266</f>
        <v>64140000</v>
      </c>
      <c r="AE263" s="63">
        <f>(AD263/AD$13)*100</f>
        <v>0.48609341053356614</v>
      </c>
      <c r="AF263" s="196"/>
      <c r="AG263" s="189"/>
      <c r="AH263" s="188"/>
      <c r="AI263" s="188"/>
      <c r="AJ263" s="189"/>
      <c r="AK263" s="188"/>
      <c r="AL263" s="188"/>
      <c r="AM263" s="183"/>
      <c r="AN263" s="183"/>
      <c r="AO263" s="183"/>
      <c r="AP263" s="183"/>
      <c r="AQ263" s="273"/>
    </row>
    <row r="264" spans="1:43" x14ac:dyDescent="0.25">
      <c r="A264" s="402">
        <v>5</v>
      </c>
      <c r="B264" s="332">
        <v>2</v>
      </c>
      <c r="C264" s="332">
        <v>2</v>
      </c>
      <c r="D264" s="333" t="s">
        <v>12</v>
      </c>
      <c r="E264" s="403" t="s">
        <v>5</v>
      </c>
      <c r="F264" s="57" t="s">
        <v>194</v>
      </c>
      <c r="G264" s="58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48"/>
      <c r="AC264" s="49"/>
      <c r="AD264" s="34">
        <f>+AD265</f>
        <v>33640000</v>
      </c>
      <c r="AE264" s="63">
        <f>(AD264/AD$13)*100</f>
        <v>0.25494515638211984</v>
      </c>
      <c r="AF264" s="196"/>
      <c r="AG264" s="189"/>
      <c r="AH264" s="188"/>
      <c r="AI264" s="188"/>
      <c r="AJ264" s="189"/>
      <c r="AK264" s="188"/>
      <c r="AL264" s="188"/>
      <c r="AM264" s="183"/>
      <c r="AN264" s="183"/>
      <c r="AO264" s="183"/>
      <c r="AP264" s="183"/>
      <c r="AQ264" s="273"/>
    </row>
    <row r="265" spans="1:43" x14ac:dyDescent="0.25">
      <c r="A265" s="402"/>
      <c r="B265" s="332"/>
      <c r="C265" s="332"/>
      <c r="D265" s="333"/>
      <c r="E265" s="403"/>
      <c r="F265" s="96" t="s">
        <v>37</v>
      </c>
      <c r="G265" s="54" t="s">
        <v>183</v>
      </c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48"/>
      <c r="AC265" s="49"/>
      <c r="AD265" s="74">
        <v>33640000</v>
      </c>
      <c r="AE265" s="63">
        <f>(AD265/AD$13)*100</f>
        <v>0.25494515638211984</v>
      </c>
      <c r="AF265" s="196"/>
      <c r="AG265" s="189">
        <f>+AD265/9</f>
        <v>3737777.777777778</v>
      </c>
      <c r="AH265" s="188">
        <f>+AG265</f>
        <v>3737777.777777778</v>
      </c>
      <c r="AI265" s="188">
        <f t="shared" ref="AI265:AO265" si="29">+AH265</f>
        <v>3737777.777777778</v>
      </c>
      <c r="AJ265" s="188">
        <f t="shared" si="29"/>
        <v>3737777.777777778</v>
      </c>
      <c r="AK265" s="188">
        <f t="shared" si="29"/>
        <v>3737777.777777778</v>
      </c>
      <c r="AL265" s="188">
        <f t="shared" si="29"/>
        <v>3737777.777777778</v>
      </c>
      <c r="AM265" s="188">
        <f t="shared" si="29"/>
        <v>3737777.777777778</v>
      </c>
      <c r="AN265" s="188">
        <f t="shared" si="29"/>
        <v>3737777.777777778</v>
      </c>
      <c r="AO265" s="188">
        <f t="shared" si="29"/>
        <v>3737777.777777778</v>
      </c>
      <c r="AP265" s="183"/>
      <c r="AQ265" s="273"/>
    </row>
    <row r="266" spans="1:43" x14ac:dyDescent="0.25">
      <c r="A266" s="402">
        <v>5</v>
      </c>
      <c r="B266" s="332">
        <v>2</v>
      </c>
      <c r="C266" s="332">
        <v>2</v>
      </c>
      <c r="D266" s="333" t="s">
        <v>12</v>
      </c>
      <c r="E266" s="403" t="s">
        <v>10</v>
      </c>
      <c r="F266" s="57" t="s">
        <v>88</v>
      </c>
      <c r="G266" s="58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48"/>
      <c r="AC266" s="49"/>
      <c r="AD266" s="34">
        <f>+AD267</f>
        <v>30500000</v>
      </c>
      <c r="AE266" s="63">
        <f>(AD266/AD$13)*100</f>
        <v>0.23114825415144633</v>
      </c>
      <c r="AF266" s="196"/>
      <c r="AG266" s="189"/>
      <c r="AH266" s="188"/>
      <c r="AI266" s="188"/>
      <c r="AJ266" s="189"/>
      <c r="AK266" s="188"/>
      <c r="AL266" s="188"/>
      <c r="AM266" s="183"/>
      <c r="AN266" s="183"/>
      <c r="AO266" s="183"/>
      <c r="AP266" s="183"/>
      <c r="AQ266" s="273"/>
    </row>
    <row r="267" spans="1:43" x14ac:dyDescent="0.25">
      <c r="A267" s="402"/>
      <c r="B267" s="332"/>
      <c r="C267" s="332"/>
      <c r="D267" s="333"/>
      <c r="E267" s="403"/>
      <c r="F267" s="96" t="s">
        <v>37</v>
      </c>
      <c r="G267" s="54" t="s">
        <v>183</v>
      </c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106"/>
      <c r="Y267" s="106"/>
      <c r="Z267" s="106"/>
      <c r="AA267" s="106"/>
      <c r="AB267" s="106"/>
      <c r="AC267" s="107"/>
      <c r="AD267" s="74">
        <v>30500000</v>
      </c>
      <c r="AE267" s="63">
        <f>(AD267/AD$13)*100</f>
        <v>0.23114825415144633</v>
      </c>
      <c r="AF267" s="196"/>
      <c r="AG267" s="189">
        <f>+AD267/9</f>
        <v>3388888.888888889</v>
      </c>
      <c r="AH267" s="188">
        <f>+AG267</f>
        <v>3388888.888888889</v>
      </c>
      <c r="AI267" s="188">
        <f t="shared" ref="AI267:AO267" si="30">+AH267</f>
        <v>3388888.888888889</v>
      </c>
      <c r="AJ267" s="188">
        <f t="shared" si="30"/>
        <v>3388888.888888889</v>
      </c>
      <c r="AK267" s="188">
        <f t="shared" si="30"/>
        <v>3388888.888888889</v>
      </c>
      <c r="AL267" s="188">
        <f t="shared" si="30"/>
        <v>3388888.888888889</v>
      </c>
      <c r="AM267" s="188">
        <f t="shared" si="30"/>
        <v>3388888.888888889</v>
      </c>
      <c r="AN267" s="188">
        <f t="shared" si="30"/>
        <v>3388888.888888889</v>
      </c>
      <c r="AO267" s="188">
        <f t="shared" si="30"/>
        <v>3388888.888888889</v>
      </c>
      <c r="AP267" s="183"/>
      <c r="AQ267" s="273"/>
    </row>
    <row r="268" spans="1:43" x14ac:dyDescent="0.25">
      <c r="A268" s="402"/>
      <c r="B268" s="332"/>
      <c r="C268" s="332"/>
      <c r="D268" s="333"/>
      <c r="E268" s="403"/>
      <c r="F268" s="93"/>
      <c r="G268" s="94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48"/>
      <c r="AC268" s="49"/>
      <c r="AD268" s="74"/>
      <c r="AE268" s="127"/>
      <c r="AF268" s="196"/>
      <c r="AG268" s="189"/>
      <c r="AH268" s="188"/>
      <c r="AI268" s="188"/>
      <c r="AJ268" s="189"/>
      <c r="AK268" s="188"/>
      <c r="AL268" s="188"/>
      <c r="AM268" s="183"/>
      <c r="AN268" s="183"/>
      <c r="AO268" s="183"/>
      <c r="AP268" s="183"/>
      <c r="AQ268" s="273"/>
    </row>
    <row r="269" spans="1:43" x14ac:dyDescent="0.25">
      <c r="A269" s="402">
        <v>5</v>
      </c>
      <c r="B269" s="332">
        <v>2</v>
      </c>
      <c r="C269" s="332">
        <v>2</v>
      </c>
      <c r="D269" s="333" t="s">
        <v>54</v>
      </c>
      <c r="E269" s="400"/>
      <c r="F269" s="57" t="s">
        <v>195</v>
      </c>
      <c r="G269" s="54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48"/>
      <c r="AC269" s="49"/>
      <c r="AD269" s="34">
        <f>+AD270+AD285</f>
        <v>190300000</v>
      </c>
      <c r="AE269" s="63">
        <f t="shared" ref="AE269:AE283" si="31">(AD269/AD$13)*100</f>
        <v>1.442213533279352</v>
      </c>
      <c r="AF269" s="196"/>
      <c r="AG269" s="189"/>
      <c r="AH269" s="188"/>
      <c r="AI269" s="188"/>
      <c r="AJ269" s="189"/>
      <c r="AK269" s="188"/>
      <c r="AL269" s="188"/>
      <c r="AM269" s="183"/>
      <c r="AN269" s="183"/>
      <c r="AO269" s="183"/>
      <c r="AP269" s="183"/>
      <c r="AQ269" s="273"/>
    </row>
    <row r="270" spans="1:43" x14ac:dyDescent="0.25">
      <c r="A270" s="402">
        <v>5</v>
      </c>
      <c r="B270" s="332">
        <v>2</v>
      </c>
      <c r="C270" s="332">
        <v>2</v>
      </c>
      <c r="D270" s="333" t="s">
        <v>54</v>
      </c>
      <c r="E270" s="403" t="s">
        <v>52</v>
      </c>
      <c r="F270" s="57" t="s">
        <v>61</v>
      </c>
      <c r="G270" s="58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48"/>
      <c r="AC270" s="49"/>
      <c r="AD270" s="74">
        <f>+AD271</f>
        <v>42500000</v>
      </c>
      <c r="AE270" s="63">
        <f t="shared" si="31"/>
        <v>0.32209182955529408</v>
      </c>
      <c r="AF270" s="196"/>
      <c r="AG270" s="189"/>
      <c r="AH270" s="188"/>
      <c r="AI270" s="188"/>
      <c r="AJ270" s="189"/>
      <c r="AK270" s="188"/>
      <c r="AL270" s="188"/>
      <c r="AM270" s="183"/>
      <c r="AN270" s="183"/>
      <c r="AO270" s="183"/>
      <c r="AP270" s="183"/>
      <c r="AQ270" s="273"/>
    </row>
    <row r="271" spans="1:43" x14ac:dyDescent="0.25">
      <c r="A271" s="402"/>
      <c r="B271" s="332"/>
      <c r="C271" s="332"/>
      <c r="D271" s="332"/>
      <c r="E271" s="400"/>
      <c r="F271" s="96" t="s">
        <v>37</v>
      </c>
      <c r="G271" s="54" t="s">
        <v>196</v>
      </c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48"/>
      <c r="AC271" s="49"/>
      <c r="AD271" s="74">
        <f>SUM(AD272:AD283)</f>
        <v>42500000</v>
      </c>
      <c r="AE271" s="63">
        <f t="shared" si="31"/>
        <v>0.32209182955529408</v>
      </c>
      <c r="AF271" s="196"/>
      <c r="AG271" s="189"/>
      <c r="AH271" s="188"/>
      <c r="AI271" s="188"/>
      <c r="AJ271" s="189"/>
      <c r="AK271" s="189"/>
      <c r="AL271" s="188"/>
      <c r="AM271" s="183"/>
      <c r="AN271" s="183"/>
      <c r="AO271" s="183"/>
      <c r="AP271" s="183"/>
      <c r="AQ271" s="273"/>
    </row>
    <row r="272" spans="1:43" x14ac:dyDescent="0.25">
      <c r="A272" s="402"/>
      <c r="B272" s="332"/>
      <c r="C272" s="332"/>
      <c r="D272" s="332"/>
      <c r="E272" s="400"/>
      <c r="F272" s="96"/>
      <c r="G272" s="320" t="s">
        <v>283</v>
      </c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48"/>
      <c r="AC272" s="49"/>
      <c r="AD272" s="74">
        <v>6000000</v>
      </c>
      <c r="AE272" s="63">
        <f t="shared" si="31"/>
        <v>4.5471787701923866E-2</v>
      </c>
      <c r="AF272" s="196"/>
      <c r="AG272" s="189">
        <f>+AD272/3</f>
        <v>2000000</v>
      </c>
      <c r="AH272" s="188"/>
      <c r="AI272" s="188"/>
      <c r="AJ272" s="189">
        <f>+AG272</f>
        <v>2000000</v>
      </c>
      <c r="AK272" s="189"/>
      <c r="AL272" s="188"/>
      <c r="AM272" s="183">
        <f>+AJ272</f>
        <v>2000000</v>
      </c>
      <c r="AN272" s="183"/>
      <c r="AO272" s="183"/>
      <c r="AP272" s="183"/>
      <c r="AQ272" s="273"/>
    </row>
    <row r="273" spans="1:43" x14ac:dyDescent="0.25">
      <c r="A273" s="402"/>
      <c r="B273" s="332"/>
      <c r="C273" s="332"/>
      <c r="D273" s="332"/>
      <c r="E273" s="400"/>
      <c r="F273" s="96"/>
      <c r="G273" s="320" t="s">
        <v>284</v>
      </c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48"/>
      <c r="AC273" s="49"/>
      <c r="AD273" s="74">
        <v>2250000</v>
      </c>
      <c r="AE273" s="63">
        <f t="shared" si="31"/>
        <v>1.705192038822145E-2</v>
      </c>
      <c r="AF273" s="196"/>
      <c r="AG273" s="189">
        <f>+AD273</f>
        <v>2250000</v>
      </c>
      <c r="AH273" s="188"/>
      <c r="AI273" s="188"/>
      <c r="AJ273" s="72"/>
      <c r="AK273" s="189"/>
      <c r="AL273" s="188"/>
      <c r="AM273" s="183"/>
      <c r="AN273" s="183"/>
      <c r="AO273" s="183"/>
      <c r="AP273" s="183"/>
      <c r="AQ273" s="273"/>
    </row>
    <row r="274" spans="1:43" x14ac:dyDescent="0.25">
      <c r="A274" s="402"/>
      <c r="B274" s="332"/>
      <c r="C274" s="332"/>
      <c r="D274" s="332"/>
      <c r="E274" s="400"/>
      <c r="F274" s="96"/>
      <c r="G274" s="320" t="s">
        <v>285</v>
      </c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48"/>
      <c r="AC274" s="49"/>
      <c r="AD274" s="74">
        <v>3500000</v>
      </c>
      <c r="AE274" s="63">
        <f t="shared" si="31"/>
        <v>2.6525209492788922E-2</v>
      </c>
      <c r="AF274" s="196"/>
      <c r="AG274" s="189"/>
      <c r="AH274" s="188"/>
      <c r="AI274" s="188">
        <f>+AD274/2</f>
        <v>1750000</v>
      </c>
      <c r="AJ274" s="72"/>
      <c r="AK274" s="189"/>
      <c r="AL274" s="188"/>
      <c r="AM274" s="183"/>
      <c r="AN274" s="183">
        <f>+AI274</f>
        <v>1750000</v>
      </c>
      <c r="AO274" s="183"/>
      <c r="AP274" s="183"/>
      <c r="AQ274" s="273"/>
    </row>
    <row r="275" spans="1:43" x14ac:dyDescent="0.25">
      <c r="A275" s="402"/>
      <c r="B275" s="332"/>
      <c r="C275" s="332"/>
      <c r="D275" s="332"/>
      <c r="E275" s="400"/>
      <c r="F275" s="96"/>
      <c r="G275" s="320" t="s">
        <v>273</v>
      </c>
      <c r="H275" s="54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48"/>
      <c r="AC275" s="49"/>
      <c r="AD275" s="74">
        <v>4000000</v>
      </c>
      <c r="AE275" s="63">
        <f t="shared" si="31"/>
        <v>3.0314525134615911E-2</v>
      </c>
      <c r="AF275" s="196"/>
      <c r="AG275" s="189"/>
      <c r="AH275" s="188"/>
      <c r="AI275" s="188"/>
      <c r="AJ275" s="189">
        <f>+AD275</f>
        <v>4000000</v>
      </c>
      <c r="AK275" s="189"/>
      <c r="AL275" s="188"/>
      <c r="AM275" s="183"/>
      <c r="AN275" s="183"/>
      <c r="AO275" s="183"/>
      <c r="AP275" s="183"/>
      <c r="AQ275" s="273"/>
    </row>
    <row r="276" spans="1:43" x14ac:dyDescent="0.25">
      <c r="A276" s="402"/>
      <c r="B276" s="332"/>
      <c r="C276" s="332"/>
      <c r="D276" s="332"/>
      <c r="E276" s="400"/>
      <c r="F276" s="96"/>
      <c r="G276" s="320" t="s">
        <v>275</v>
      </c>
      <c r="H276" s="54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48"/>
      <c r="AC276" s="49"/>
      <c r="AD276" s="74">
        <v>4000000</v>
      </c>
      <c r="AE276" s="63">
        <f t="shared" si="31"/>
        <v>3.0314525134615911E-2</v>
      </c>
      <c r="AF276" s="196"/>
      <c r="AG276" s="189"/>
      <c r="AH276" s="188"/>
      <c r="AI276" s="188"/>
      <c r="AJ276" s="189">
        <f>+AD276</f>
        <v>4000000</v>
      </c>
      <c r="AK276" s="189"/>
      <c r="AL276" s="188"/>
      <c r="AM276" s="183"/>
      <c r="AN276" s="183"/>
      <c r="AO276" s="183"/>
      <c r="AP276" s="183"/>
      <c r="AQ276" s="273"/>
    </row>
    <row r="277" spans="1:43" x14ac:dyDescent="0.25">
      <c r="A277" s="402"/>
      <c r="B277" s="332"/>
      <c r="C277" s="332"/>
      <c r="D277" s="332"/>
      <c r="E277" s="400"/>
      <c r="F277" s="96"/>
      <c r="G277" s="321" t="s">
        <v>277</v>
      </c>
      <c r="H277" s="54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48"/>
      <c r="AC277" s="49"/>
      <c r="AD277" s="74">
        <v>3500000</v>
      </c>
      <c r="AE277" s="63">
        <f t="shared" si="31"/>
        <v>2.6525209492788922E-2</v>
      </c>
      <c r="AF277" s="196"/>
      <c r="AG277" s="189"/>
      <c r="AH277" s="188">
        <f>+AD277</f>
        <v>3500000</v>
      </c>
      <c r="AI277" s="188"/>
      <c r="AJ277" s="189"/>
      <c r="AK277" s="189"/>
      <c r="AL277" s="188"/>
      <c r="AM277" s="183"/>
      <c r="AN277" s="183"/>
      <c r="AO277" s="183"/>
      <c r="AP277" s="183"/>
      <c r="AQ277" s="273"/>
    </row>
    <row r="278" spans="1:43" x14ac:dyDescent="0.25">
      <c r="A278" s="402"/>
      <c r="B278" s="332"/>
      <c r="C278" s="332"/>
      <c r="D278" s="332"/>
      <c r="E278" s="400"/>
      <c r="F278" s="96"/>
      <c r="G278" s="320" t="s">
        <v>278</v>
      </c>
      <c r="H278" s="54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48"/>
      <c r="AC278" s="49"/>
      <c r="AD278" s="74">
        <v>3500000</v>
      </c>
      <c r="AE278" s="63">
        <f t="shared" si="31"/>
        <v>2.6525209492788922E-2</v>
      </c>
      <c r="AF278" s="196"/>
      <c r="AG278" s="189"/>
      <c r="AH278" s="188">
        <f>+AD278</f>
        <v>3500000</v>
      </c>
      <c r="AI278" s="188"/>
      <c r="AJ278" s="189"/>
      <c r="AK278" s="189"/>
      <c r="AL278" s="188"/>
      <c r="AM278" s="183"/>
      <c r="AN278" s="183"/>
      <c r="AO278" s="183"/>
      <c r="AP278" s="183"/>
      <c r="AQ278" s="273"/>
    </row>
    <row r="279" spans="1:43" x14ac:dyDescent="0.25">
      <c r="A279" s="402"/>
      <c r="B279" s="332"/>
      <c r="C279" s="332"/>
      <c r="D279" s="332"/>
      <c r="E279" s="400"/>
      <c r="F279" s="96"/>
      <c r="G279" s="321" t="s">
        <v>282</v>
      </c>
      <c r="H279" s="54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48"/>
      <c r="AC279" s="49"/>
      <c r="AD279" s="74">
        <v>2000000</v>
      </c>
      <c r="AE279" s="63">
        <f t="shared" si="31"/>
        <v>1.5157262567307955E-2</v>
      </c>
      <c r="AF279" s="196"/>
      <c r="AG279" s="189"/>
      <c r="AH279" s="188"/>
      <c r="AI279" s="188">
        <f>+AD279</f>
        <v>2000000</v>
      </c>
      <c r="AJ279" s="189"/>
      <c r="AK279" s="189"/>
      <c r="AL279" s="188"/>
      <c r="AM279" s="183"/>
      <c r="AN279" s="183"/>
      <c r="AO279" s="183"/>
      <c r="AP279" s="183"/>
      <c r="AQ279" s="273"/>
    </row>
    <row r="280" spans="1:43" x14ac:dyDescent="0.25">
      <c r="A280" s="402"/>
      <c r="B280" s="332"/>
      <c r="C280" s="332"/>
      <c r="D280" s="332"/>
      <c r="E280" s="400"/>
      <c r="F280" s="96"/>
      <c r="G280" s="321" t="s">
        <v>279</v>
      </c>
      <c r="H280" s="54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48"/>
      <c r="AC280" s="49"/>
      <c r="AD280" s="74">
        <v>3500000</v>
      </c>
      <c r="AE280" s="63">
        <f t="shared" si="31"/>
        <v>2.6525209492788922E-2</v>
      </c>
      <c r="AF280" s="196"/>
      <c r="AG280" s="189"/>
      <c r="AH280" s="188"/>
      <c r="AI280" s="188">
        <f>+AD280</f>
        <v>3500000</v>
      </c>
      <c r="AJ280" s="189"/>
      <c r="AK280" s="189"/>
      <c r="AL280" s="188"/>
      <c r="AM280" s="183"/>
      <c r="AN280" s="183"/>
      <c r="AO280" s="183"/>
      <c r="AP280" s="183"/>
      <c r="AQ280" s="273"/>
    </row>
    <row r="281" spans="1:43" x14ac:dyDescent="0.25">
      <c r="A281" s="402"/>
      <c r="B281" s="332"/>
      <c r="C281" s="332"/>
      <c r="D281" s="332"/>
      <c r="E281" s="400"/>
      <c r="F281" s="96"/>
      <c r="G281" s="321" t="s">
        <v>286</v>
      </c>
      <c r="H281" s="54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48"/>
      <c r="AC281" s="49"/>
      <c r="AD281" s="74">
        <v>4000000</v>
      </c>
      <c r="AE281" s="63">
        <f t="shared" si="31"/>
        <v>3.0314525134615911E-2</v>
      </c>
      <c r="AF281" s="196"/>
      <c r="AG281" s="189">
        <f>+AD281</f>
        <v>4000000</v>
      </c>
      <c r="AH281" s="188"/>
      <c r="AI281" s="188"/>
      <c r="AJ281" s="189"/>
      <c r="AK281" s="189"/>
      <c r="AL281" s="188"/>
      <c r="AM281" s="183"/>
      <c r="AN281" s="183"/>
      <c r="AO281" s="183"/>
      <c r="AP281" s="183"/>
      <c r="AQ281" s="273"/>
    </row>
    <row r="282" spans="1:43" x14ac:dyDescent="0.25">
      <c r="A282" s="402"/>
      <c r="B282" s="332"/>
      <c r="C282" s="332"/>
      <c r="D282" s="332"/>
      <c r="E282" s="400"/>
      <c r="F282" s="96"/>
      <c r="G282" s="321" t="s">
        <v>287</v>
      </c>
      <c r="H282" s="54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48"/>
      <c r="AC282" s="49"/>
      <c r="AD282" s="74">
        <v>2250000</v>
      </c>
      <c r="AE282" s="63">
        <f t="shared" si="31"/>
        <v>1.705192038822145E-2</v>
      </c>
      <c r="AF282" s="196"/>
      <c r="AG282" s="189">
        <f>+AD282</f>
        <v>2250000</v>
      </c>
      <c r="AH282" s="188"/>
      <c r="AI282" s="188"/>
      <c r="AJ282" s="189"/>
      <c r="AK282" s="189"/>
      <c r="AL282" s="188"/>
      <c r="AM282" s="183"/>
      <c r="AN282" s="183"/>
      <c r="AO282" s="183"/>
      <c r="AP282" s="183"/>
      <c r="AQ282" s="273"/>
    </row>
    <row r="283" spans="1:43" x14ac:dyDescent="0.25">
      <c r="A283" s="402"/>
      <c r="B283" s="332"/>
      <c r="C283" s="332"/>
      <c r="D283" s="332"/>
      <c r="E283" s="400"/>
      <c r="F283" s="96"/>
      <c r="G283" s="321" t="s">
        <v>288</v>
      </c>
      <c r="H283" s="54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48"/>
      <c r="AC283" s="49"/>
      <c r="AD283" s="74">
        <v>4000000</v>
      </c>
      <c r="AE283" s="63">
        <f t="shared" si="31"/>
        <v>3.0314525134615911E-2</v>
      </c>
      <c r="AF283" s="196"/>
      <c r="AG283" s="189"/>
      <c r="AH283" s="188"/>
      <c r="AI283" s="188"/>
      <c r="AJ283" s="189"/>
      <c r="AK283" s="189">
        <f>+AD283</f>
        <v>4000000</v>
      </c>
      <c r="AL283" s="188"/>
      <c r="AM283" s="183"/>
      <c r="AN283" s="183"/>
      <c r="AO283" s="183"/>
      <c r="AP283" s="183"/>
      <c r="AQ283" s="273"/>
    </row>
    <row r="284" spans="1:43" x14ac:dyDescent="0.25">
      <c r="A284" s="402"/>
      <c r="B284" s="332"/>
      <c r="C284" s="332"/>
      <c r="D284" s="332"/>
      <c r="E284" s="400"/>
      <c r="F284" s="96"/>
      <c r="G284" s="54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48"/>
      <c r="AC284" s="49"/>
      <c r="AD284" s="74"/>
      <c r="AE284" s="127"/>
      <c r="AF284" s="196"/>
      <c r="AG284" s="189"/>
      <c r="AH284" s="188"/>
      <c r="AI284" s="188"/>
      <c r="AJ284" s="189"/>
      <c r="AK284" s="188"/>
      <c r="AL284" s="188"/>
      <c r="AM284" s="183"/>
      <c r="AN284" s="183"/>
      <c r="AO284" s="183"/>
      <c r="AP284" s="183"/>
      <c r="AQ284" s="273"/>
    </row>
    <row r="285" spans="1:43" x14ac:dyDescent="0.25">
      <c r="A285" s="402">
        <v>5</v>
      </c>
      <c r="B285" s="332">
        <v>2</v>
      </c>
      <c r="C285" s="332">
        <v>2</v>
      </c>
      <c r="D285" s="333" t="s">
        <v>54</v>
      </c>
      <c r="E285" s="403" t="s">
        <v>12</v>
      </c>
      <c r="F285" s="57" t="s">
        <v>197</v>
      </c>
      <c r="G285" s="58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48"/>
      <c r="AC285" s="49"/>
      <c r="AD285" s="74">
        <f>+AD286</f>
        <v>147800000</v>
      </c>
      <c r="AE285" s="63">
        <f t="shared" ref="AE285:AE299" si="32">(AD285/AD$13)*100</f>
        <v>1.1201217037240581</v>
      </c>
      <c r="AF285" s="196"/>
      <c r="AG285" s="189"/>
      <c r="AH285" s="188"/>
      <c r="AI285" s="188"/>
      <c r="AJ285" s="189"/>
      <c r="AK285" s="188"/>
      <c r="AL285" s="188"/>
      <c r="AM285" s="183"/>
      <c r="AN285" s="183"/>
      <c r="AO285" s="183"/>
      <c r="AP285" s="183"/>
      <c r="AQ285" s="273"/>
    </row>
    <row r="286" spans="1:43" x14ac:dyDescent="0.25">
      <c r="A286" s="402"/>
      <c r="B286" s="332"/>
      <c r="C286" s="332"/>
      <c r="D286" s="332"/>
      <c r="E286" s="400"/>
      <c r="F286" s="96" t="s">
        <v>37</v>
      </c>
      <c r="G286" s="54" t="s">
        <v>198</v>
      </c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48"/>
      <c r="AC286" s="49"/>
      <c r="AD286" s="74">
        <f>SUM(AD287:AD299)</f>
        <v>147800000</v>
      </c>
      <c r="AE286" s="63">
        <f t="shared" si="32"/>
        <v>1.1201217037240581</v>
      </c>
      <c r="AF286" s="196"/>
      <c r="AG286" s="189"/>
      <c r="AH286" s="188"/>
      <c r="AI286" s="188"/>
      <c r="AJ286" s="189"/>
      <c r="AK286" s="189"/>
      <c r="AL286" s="188"/>
      <c r="AM286" s="183"/>
      <c r="AN286" s="183"/>
      <c r="AO286" s="183"/>
      <c r="AP286" s="183"/>
      <c r="AQ286" s="273"/>
    </row>
    <row r="287" spans="1:43" x14ac:dyDescent="0.25">
      <c r="A287" s="402"/>
      <c r="B287" s="332"/>
      <c r="C287" s="332"/>
      <c r="D287" s="332"/>
      <c r="E287" s="400"/>
      <c r="F287" s="96"/>
      <c r="G287" s="320" t="s">
        <v>283</v>
      </c>
      <c r="H287" s="54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48"/>
      <c r="AC287" s="49"/>
      <c r="AD287" s="74">
        <v>6300000</v>
      </c>
      <c r="AE287" s="63">
        <f t="shared" si="32"/>
        <v>4.7745377087020056E-2</v>
      </c>
      <c r="AF287" s="196"/>
      <c r="AG287" s="189">
        <f>+AD287/3</f>
        <v>2100000</v>
      </c>
      <c r="AH287" s="188"/>
      <c r="AI287" s="188"/>
      <c r="AJ287" s="189">
        <f>+AG287</f>
        <v>2100000</v>
      </c>
      <c r="AK287" s="189"/>
      <c r="AL287" s="188"/>
      <c r="AM287" s="183">
        <f>+AJ287</f>
        <v>2100000</v>
      </c>
      <c r="AN287" s="183"/>
      <c r="AO287" s="183"/>
      <c r="AP287" s="183"/>
      <c r="AQ287" s="273"/>
    </row>
    <row r="288" spans="1:43" x14ac:dyDescent="0.25">
      <c r="A288" s="402"/>
      <c r="B288" s="332"/>
      <c r="C288" s="332"/>
      <c r="D288" s="332"/>
      <c r="E288" s="400"/>
      <c r="F288" s="96"/>
      <c r="G288" s="320" t="s">
        <v>284</v>
      </c>
      <c r="H288" s="54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48"/>
      <c r="AC288" s="49"/>
      <c r="AD288" s="74">
        <v>2700000</v>
      </c>
      <c r="AE288" s="63">
        <f t="shared" si="32"/>
        <v>2.0462304465865742E-2</v>
      </c>
      <c r="AF288" s="196"/>
      <c r="AG288" s="189">
        <f>+AD288</f>
        <v>2700000</v>
      </c>
      <c r="AH288" s="188"/>
      <c r="AI288" s="188"/>
      <c r="AJ288" s="72"/>
      <c r="AK288" s="189"/>
      <c r="AL288" s="188"/>
      <c r="AM288" s="183"/>
      <c r="AN288" s="183"/>
      <c r="AO288" s="183"/>
      <c r="AP288" s="183"/>
      <c r="AQ288" s="273"/>
    </row>
    <row r="289" spans="1:43" x14ac:dyDescent="0.25">
      <c r="A289" s="402"/>
      <c r="B289" s="332"/>
      <c r="C289" s="332"/>
      <c r="D289" s="332"/>
      <c r="E289" s="400"/>
      <c r="F289" s="96"/>
      <c r="G289" s="320" t="s">
        <v>285</v>
      </c>
      <c r="H289" s="54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48"/>
      <c r="AC289" s="49"/>
      <c r="AD289" s="74">
        <v>6000000</v>
      </c>
      <c r="AE289" s="63">
        <f t="shared" si="32"/>
        <v>4.5471787701923866E-2</v>
      </c>
      <c r="AF289" s="196"/>
      <c r="AG289" s="189"/>
      <c r="AH289" s="188"/>
      <c r="AI289" s="188">
        <f>+AD289/2</f>
        <v>3000000</v>
      </c>
      <c r="AJ289" s="72"/>
      <c r="AK289" s="189"/>
      <c r="AL289" s="188"/>
      <c r="AM289" s="183"/>
      <c r="AN289" s="183">
        <f>+AI289</f>
        <v>3000000</v>
      </c>
      <c r="AO289" s="183"/>
      <c r="AP289" s="183"/>
      <c r="AQ289" s="273"/>
    </row>
    <row r="290" spans="1:43" x14ac:dyDescent="0.25">
      <c r="A290" s="402"/>
      <c r="B290" s="332"/>
      <c r="C290" s="332"/>
      <c r="D290" s="332"/>
      <c r="E290" s="400"/>
      <c r="F290" s="96"/>
      <c r="G290" s="320" t="s">
        <v>273</v>
      </c>
      <c r="H290" s="54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48"/>
      <c r="AC290" s="49"/>
      <c r="AD290" s="74">
        <v>23800000</v>
      </c>
      <c r="AE290" s="63">
        <f t="shared" si="32"/>
        <v>0.18037142455096467</v>
      </c>
      <c r="AF290" s="196"/>
      <c r="AG290" s="189"/>
      <c r="AH290" s="188"/>
      <c r="AI290" s="188"/>
      <c r="AJ290" s="189">
        <f>+AD290</f>
        <v>23800000</v>
      </c>
      <c r="AK290" s="189"/>
      <c r="AL290" s="188"/>
      <c r="AM290" s="183"/>
      <c r="AN290" s="183"/>
      <c r="AO290" s="183"/>
      <c r="AP290" s="183"/>
      <c r="AQ290" s="273"/>
    </row>
    <row r="291" spans="1:43" x14ac:dyDescent="0.25">
      <c r="A291" s="402"/>
      <c r="B291" s="332"/>
      <c r="C291" s="332"/>
      <c r="D291" s="332"/>
      <c r="E291" s="400"/>
      <c r="F291" s="96"/>
      <c r="G291" s="320" t="s">
        <v>275</v>
      </c>
      <c r="H291" s="54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48"/>
      <c r="AC291" s="49"/>
      <c r="AD291" s="74">
        <v>23800000</v>
      </c>
      <c r="AE291" s="63">
        <f t="shared" si="32"/>
        <v>0.18037142455096467</v>
      </c>
      <c r="AF291" s="196"/>
      <c r="AG291" s="189"/>
      <c r="AH291" s="188"/>
      <c r="AI291" s="188"/>
      <c r="AJ291" s="189">
        <f>+AD291</f>
        <v>23800000</v>
      </c>
      <c r="AK291" s="189"/>
      <c r="AL291" s="188"/>
      <c r="AM291" s="183"/>
      <c r="AN291" s="183"/>
      <c r="AO291" s="183"/>
      <c r="AP291" s="183"/>
      <c r="AQ291" s="273"/>
    </row>
    <row r="292" spans="1:43" x14ac:dyDescent="0.25">
      <c r="A292" s="402"/>
      <c r="B292" s="332"/>
      <c r="C292" s="332"/>
      <c r="D292" s="332"/>
      <c r="E292" s="400"/>
      <c r="F292" s="96"/>
      <c r="G292" s="321" t="s">
        <v>277</v>
      </c>
      <c r="H292" s="54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48"/>
      <c r="AC292" s="49"/>
      <c r="AD292" s="74">
        <v>8000000</v>
      </c>
      <c r="AE292" s="63">
        <f t="shared" si="32"/>
        <v>6.0629050269231821E-2</v>
      </c>
      <c r="AF292" s="196"/>
      <c r="AG292" s="189"/>
      <c r="AH292" s="188">
        <f>+AD292</f>
        <v>8000000</v>
      </c>
      <c r="AI292" s="188"/>
      <c r="AJ292" s="189"/>
      <c r="AK292" s="189"/>
      <c r="AL292" s="188"/>
      <c r="AM292" s="183"/>
      <c r="AN292" s="183"/>
      <c r="AO292" s="183"/>
      <c r="AP292" s="183"/>
      <c r="AQ292" s="273"/>
    </row>
    <row r="293" spans="1:43" x14ac:dyDescent="0.25">
      <c r="A293" s="402"/>
      <c r="B293" s="332"/>
      <c r="C293" s="332"/>
      <c r="D293" s="332"/>
      <c r="E293" s="400"/>
      <c r="F293" s="96"/>
      <c r="G293" s="320" t="s">
        <v>278</v>
      </c>
      <c r="H293" s="54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48"/>
      <c r="AC293" s="49"/>
      <c r="AD293" s="74">
        <v>8000000</v>
      </c>
      <c r="AE293" s="63">
        <f t="shared" si="32"/>
        <v>6.0629050269231821E-2</v>
      </c>
      <c r="AF293" s="196"/>
      <c r="AG293" s="189"/>
      <c r="AH293" s="188">
        <f>+AD293</f>
        <v>8000000</v>
      </c>
      <c r="AI293" s="188"/>
      <c r="AJ293" s="189"/>
      <c r="AK293" s="189"/>
      <c r="AL293" s="188"/>
      <c r="AM293" s="183"/>
      <c r="AN293" s="183"/>
      <c r="AO293" s="183"/>
      <c r="AP293" s="183"/>
      <c r="AQ293" s="273"/>
    </row>
    <row r="294" spans="1:43" x14ac:dyDescent="0.25">
      <c r="A294" s="402"/>
      <c r="B294" s="332"/>
      <c r="C294" s="332"/>
      <c r="D294" s="332"/>
      <c r="E294" s="400"/>
      <c r="F294" s="96"/>
      <c r="G294" s="321" t="s">
        <v>282</v>
      </c>
      <c r="H294" s="54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48"/>
      <c r="AC294" s="49"/>
      <c r="AD294" s="74">
        <v>2100000</v>
      </c>
      <c r="AE294" s="63">
        <f t="shared" si="32"/>
        <v>1.5915125695673354E-2</v>
      </c>
      <c r="AF294" s="196"/>
      <c r="AG294" s="189"/>
      <c r="AH294" s="188"/>
      <c r="AI294" s="188">
        <f>+AD294</f>
        <v>2100000</v>
      </c>
      <c r="AJ294" s="189"/>
      <c r="AK294" s="189"/>
      <c r="AL294" s="188"/>
      <c r="AM294" s="183"/>
      <c r="AN294" s="183"/>
      <c r="AO294" s="183"/>
      <c r="AP294" s="183"/>
      <c r="AQ294" s="273"/>
    </row>
    <row r="295" spans="1:43" x14ac:dyDescent="0.25">
      <c r="A295" s="402"/>
      <c r="B295" s="332"/>
      <c r="C295" s="332"/>
      <c r="D295" s="332"/>
      <c r="E295" s="400"/>
      <c r="F295" s="96"/>
      <c r="G295" s="321" t="s">
        <v>279</v>
      </c>
      <c r="H295" s="54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48"/>
      <c r="AC295" s="49"/>
      <c r="AD295" s="74">
        <v>1500000</v>
      </c>
      <c r="AE295" s="63">
        <f t="shared" si="32"/>
        <v>1.1367946925480966E-2</v>
      </c>
      <c r="AF295" s="196"/>
      <c r="AG295" s="189"/>
      <c r="AH295" s="188"/>
      <c r="AI295" s="188">
        <f>+AD295</f>
        <v>1500000</v>
      </c>
      <c r="AJ295" s="189"/>
      <c r="AK295" s="189"/>
      <c r="AL295" s="188"/>
      <c r="AM295" s="183"/>
      <c r="AN295" s="183"/>
      <c r="AO295" s="183"/>
      <c r="AP295" s="183"/>
      <c r="AQ295" s="273"/>
    </row>
    <row r="296" spans="1:43" x14ac:dyDescent="0.25">
      <c r="A296" s="402"/>
      <c r="B296" s="332"/>
      <c r="C296" s="332"/>
      <c r="D296" s="332"/>
      <c r="E296" s="400"/>
      <c r="F296" s="96"/>
      <c r="G296" s="321" t="s">
        <v>286</v>
      </c>
      <c r="H296" s="54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48"/>
      <c r="AC296" s="49"/>
      <c r="AD296" s="74">
        <v>2000000</v>
      </c>
      <c r="AE296" s="63">
        <f t="shared" si="32"/>
        <v>1.5157262567307955E-2</v>
      </c>
      <c r="AF296" s="196"/>
      <c r="AG296" s="189">
        <f>+AD296</f>
        <v>2000000</v>
      </c>
      <c r="AH296" s="188"/>
      <c r="AI296" s="188"/>
      <c r="AJ296" s="189"/>
      <c r="AK296" s="189"/>
      <c r="AL296" s="188"/>
      <c r="AM296" s="183"/>
      <c r="AN296" s="183"/>
      <c r="AO296" s="183"/>
      <c r="AP296" s="183"/>
      <c r="AQ296" s="273"/>
    </row>
    <row r="297" spans="1:43" x14ac:dyDescent="0.25">
      <c r="A297" s="402"/>
      <c r="B297" s="332"/>
      <c r="C297" s="332"/>
      <c r="D297" s="332"/>
      <c r="E297" s="400"/>
      <c r="F297" s="96"/>
      <c r="G297" s="321" t="s">
        <v>287</v>
      </c>
      <c r="H297" s="54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48"/>
      <c r="AC297" s="49"/>
      <c r="AD297" s="74">
        <v>3600000</v>
      </c>
      <c r="AE297" s="63">
        <f t="shared" si="32"/>
        <v>2.7283072621154321E-2</v>
      </c>
      <c r="AF297" s="196"/>
      <c r="AG297" s="189">
        <f>+AD297</f>
        <v>3600000</v>
      </c>
      <c r="AH297" s="188"/>
      <c r="AI297" s="188"/>
      <c r="AJ297" s="189"/>
      <c r="AK297" s="189"/>
      <c r="AL297" s="188"/>
      <c r="AM297" s="183"/>
      <c r="AN297" s="183"/>
      <c r="AO297" s="183"/>
      <c r="AP297" s="183"/>
      <c r="AQ297" s="273"/>
    </row>
    <row r="298" spans="1:43" x14ac:dyDescent="0.25">
      <c r="A298" s="402"/>
      <c r="B298" s="332"/>
      <c r="C298" s="332"/>
      <c r="D298" s="332"/>
      <c r="E298" s="400"/>
      <c r="F298" s="96"/>
      <c r="G298" s="321" t="s">
        <v>289</v>
      </c>
      <c r="H298" s="54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48"/>
      <c r="AC298" s="49"/>
      <c r="AD298" s="74">
        <v>42000000</v>
      </c>
      <c r="AE298" s="63">
        <f t="shared" si="32"/>
        <v>0.31830251391346709</v>
      </c>
      <c r="AF298" s="196"/>
      <c r="AG298" s="189"/>
      <c r="AH298" s="188"/>
      <c r="AI298" s="188"/>
      <c r="AJ298" s="189"/>
      <c r="AK298" s="189">
        <f>+AD298</f>
        <v>42000000</v>
      </c>
      <c r="AL298" s="188"/>
      <c r="AM298" s="183"/>
      <c r="AN298" s="183"/>
      <c r="AO298" s="183"/>
      <c r="AP298" s="183"/>
      <c r="AQ298" s="273"/>
    </row>
    <row r="299" spans="1:43" x14ac:dyDescent="0.25">
      <c r="A299" s="402"/>
      <c r="B299" s="332"/>
      <c r="C299" s="332"/>
      <c r="D299" s="332"/>
      <c r="E299" s="400"/>
      <c r="F299" s="53"/>
      <c r="G299" s="321" t="s">
        <v>288</v>
      </c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48"/>
      <c r="AC299" s="49"/>
      <c r="AD299" s="74">
        <v>18000000</v>
      </c>
      <c r="AE299" s="63">
        <f t="shared" si="32"/>
        <v>0.1364153631057716</v>
      </c>
      <c r="AF299" s="196"/>
      <c r="AG299" s="189"/>
      <c r="AH299" s="188"/>
      <c r="AI299" s="188"/>
      <c r="AJ299" s="189"/>
      <c r="AK299" s="189">
        <f>+AD299</f>
        <v>18000000</v>
      </c>
      <c r="AL299" s="188"/>
      <c r="AM299" s="183"/>
      <c r="AN299" s="183"/>
      <c r="AO299" s="183"/>
      <c r="AP299" s="183"/>
      <c r="AQ299" s="273"/>
    </row>
    <row r="300" spans="1:43" x14ac:dyDescent="0.25">
      <c r="A300" s="402"/>
      <c r="B300" s="332"/>
      <c r="C300" s="332"/>
      <c r="D300" s="332"/>
      <c r="E300" s="400"/>
      <c r="F300" s="53"/>
      <c r="G300" s="321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48"/>
      <c r="AC300" s="49"/>
      <c r="AD300" s="74"/>
      <c r="AE300" s="127"/>
      <c r="AF300" s="196"/>
      <c r="AG300" s="189"/>
      <c r="AH300" s="188"/>
      <c r="AI300" s="188"/>
      <c r="AJ300" s="189"/>
      <c r="AK300" s="188"/>
      <c r="AL300" s="188"/>
      <c r="AM300" s="183"/>
      <c r="AN300" s="183"/>
      <c r="AO300" s="183"/>
      <c r="AP300" s="183"/>
      <c r="AQ300" s="273"/>
    </row>
    <row r="301" spans="1:43" x14ac:dyDescent="0.25">
      <c r="A301" s="402">
        <v>5</v>
      </c>
      <c r="B301" s="332">
        <v>2</v>
      </c>
      <c r="C301" s="332">
        <v>2</v>
      </c>
      <c r="D301" s="332">
        <v>11</v>
      </c>
      <c r="E301" s="400"/>
      <c r="F301" s="57" t="s">
        <v>30</v>
      </c>
      <c r="G301" s="54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48"/>
      <c r="AC301" s="49"/>
      <c r="AD301" s="34">
        <f>+AD302</f>
        <v>290522500</v>
      </c>
      <c r="AE301" s="63">
        <f>(AD301/AD$13)*100</f>
        <v>2.2017629071053628</v>
      </c>
      <c r="AF301" s="196"/>
      <c r="AG301" s="189"/>
      <c r="AH301" s="188"/>
      <c r="AI301" s="188"/>
      <c r="AJ301" s="189"/>
      <c r="AK301" s="188"/>
      <c r="AL301" s="188"/>
      <c r="AM301" s="183"/>
      <c r="AN301" s="183"/>
      <c r="AO301" s="183"/>
      <c r="AP301" s="183"/>
      <c r="AQ301" s="273"/>
    </row>
    <row r="302" spans="1:43" x14ac:dyDescent="0.25">
      <c r="A302" s="402">
        <v>5</v>
      </c>
      <c r="B302" s="332">
        <v>2</v>
      </c>
      <c r="C302" s="332">
        <v>2</v>
      </c>
      <c r="D302" s="332">
        <v>11</v>
      </c>
      <c r="E302" s="403" t="s">
        <v>10</v>
      </c>
      <c r="F302" s="57" t="s">
        <v>39</v>
      </c>
      <c r="G302" s="58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48"/>
      <c r="AC302" s="49"/>
      <c r="AD302" s="34">
        <f>+AD303</f>
        <v>290522500</v>
      </c>
      <c r="AE302" s="63">
        <f>(AD302/AD$13)*100</f>
        <v>2.2017629071053628</v>
      </c>
      <c r="AF302" s="196"/>
      <c r="AG302" s="189"/>
      <c r="AH302" s="188"/>
      <c r="AI302" s="188"/>
      <c r="AJ302" s="189"/>
      <c r="AK302" s="188"/>
      <c r="AL302" s="188"/>
      <c r="AM302" s="183"/>
      <c r="AN302" s="183"/>
      <c r="AO302" s="183"/>
      <c r="AP302" s="183"/>
      <c r="AQ302" s="273"/>
    </row>
    <row r="303" spans="1:43" x14ac:dyDescent="0.25">
      <c r="A303" s="402"/>
      <c r="B303" s="332"/>
      <c r="C303" s="332"/>
      <c r="D303" s="332"/>
      <c r="E303" s="400"/>
      <c r="F303" s="92" t="s">
        <v>37</v>
      </c>
      <c r="G303" s="54" t="s">
        <v>183</v>
      </c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48"/>
      <c r="AC303" s="49"/>
      <c r="AD303" s="74">
        <v>290522500</v>
      </c>
      <c r="AE303" s="63">
        <f>(AD303/AD$13)*100</f>
        <v>2.2017629071053628</v>
      </c>
      <c r="AF303" s="196"/>
      <c r="AG303" s="189">
        <f>+AD303/9</f>
        <v>32280277.777777776</v>
      </c>
      <c r="AH303" s="188">
        <f>+AG303</f>
        <v>32280277.777777776</v>
      </c>
      <c r="AI303" s="188">
        <f t="shared" ref="AI303:AO303" si="33">+AH303</f>
        <v>32280277.777777776</v>
      </c>
      <c r="AJ303" s="188">
        <f t="shared" si="33"/>
        <v>32280277.777777776</v>
      </c>
      <c r="AK303" s="188">
        <f t="shared" si="33"/>
        <v>32280277.777777776</v>
      </c>
      <c r="AL303" s="188">
        <f t="shared" si="33"/>
        <v>32280277.777777776</v>
      </c>
      <c r="AM303" s="188">
        <f t="shared" si="33"/>
        <v>32280277.777777776</v>
      </c>
      <c r="AN303" s="188">
        <f t="shared" si="33"/>
        <v>32280277.777777776</v>
      </c>
      <c r="AO303" s="188">
        <f t="shared" si="33"/>
        <v>32280277.777777776</v>
      </c>
      <c r="AP303" s="183"/>
      <c r="AQ303" s="273"/>
    </row>
    <row r="304" spans="1:43" x14ac:dyDescent="0.25">
      <c r="A304" s="402"/>
      <c r="B304" s="332"/>
      <c r="C304" s="332"/>
      <c r="D304" s="332"/>
      <c r="E304" s="400"/>
      <c r="F304" s="92"/>
      <c r="G304" s="54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48"/>
      <c r="AC304" s="49"/>
      <c r="AD304" s="74"/>
      <c r="AE304" s="127"/>
      <c r="AF304" s="196"/>
      <c r="AG304" s="189"/>
      <c r="AH304" s="188"/>
      <c r="AI304" s="188"/>
      <c r="AJ304" s="189"/>
      <c r="AK304" s="188"/>
      <c r="AL304" s="188"/>
      <c r="AM304" s="183"/>
      <c r="AN304" s="183"/>
      <c r="AO304" s="183"/>
      <c r="AP304" s="183"/>
      <c r="AQ304" s="273"/>
    </row>
    <row r="305" spans="1:43" x14ac:dyDescent="0.25">
      <c r="A305" s="402">
        <v>5</v>
      </c>
      <c r="B305" s="332">
        <v>2</v>
      </c>
      <c r="C305" s="332">
        <v>2</v>
      </c>
      <c r="D305" s="332">
        <v>14</v>
      </c>
      <c r="E305" s="400"/>
      <c r="F305" s="57" t="s">
        <v>48</v>
      </c>
      <c r="G305" s="58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48"/>
      <c r="AC305" s="49"/>
      <c r="AD305" s="34">
        <f>+AD306</f>
        <v>35000000</v>
      </c>
      <c r="AE305" s="63">
        <f>(AD305/AD$13)*100</f>
        <v>0.2652520949278892</v>
      </c>
      <c r="AF305" s="196"/>
      <c r="AG305" s="189"/>
      <c r="AH305" s="188"/>
      <c r="AI305" s="188"/>
      <c r="AJ305" s="189"/>
      <c r="AK305" s="188"/>
      <c r="AL305" s="188"/>
      <c r="AM305" s="183"/>
      <c r="AN305" s="183"/>
      <c r="AO305" s="183"/>
      <c r="AP305" s="183"/>
      <c r="AQ305" s="273"/>
    </row>
    <row r="306" spans="1:43" x14ac:dyDescent="0.25">
      <c r="A306" s="402">
        <v>5</v>
      </c>
      <c r="B306" s="332">
        <v>2</v>
      </c>
      <c r="C306" s="332">
        <v>2</v>
      </c>
      <c r="D306" s="332">
        <v>14</v>
      </c>
      <c r="E306" s="403" t="s">
        <v>52</v>
      </c>
      <c r="F306" s="53" t="s">
        <v>49</v>
      </c>
      <c r="G306" s="54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48"/>
      <c r="AC306" s="49"/>
      <c r="AD306" s="74">
        <v>35000000</v>
      </c>
      <c r="AE306" s="63">
        <f>(AD306/AD$13)*100</f>
        <v>0.2652520949278892</v>
      </c>
      <c r="AF306" s="196"/>
      <c r="AG306" s="189"/>
      <c r="AH306" s="188"/>
      <c r="AI306" s="188">
        <v>17000000</v>
      </c>
      <c r="AJ306" s="189">
        <v>18000000</v>
      </c>
      <c r="AK306" s="188"/>
      <c r="AL306" s="188"/>
      <c r="AM306" s="183"/>
      <c r="AN306" s="183"/>
      <c r="AO306" s="183"/>
      <c r="AP306" s="183"/>
      <c r="AQ306" s="273"/>
    </row>
    <row r="307" spans="1:43" x14ac:dyDescent="0.25">
      <c r="A307" s="402"/>
      <c r="B307" s="332"/>
      <c r="C307" s="332"/>
      <c r="D307" s="332"/>
      <c r="E307" s="403"/>
      <c r="F307" s="108"/>
      <c r="G307" s="52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48"/>
      <c r="AC307" s="49"/>
      <c r="AD307" s="74"/>
      <c r="AE307" s="127"/>
      <c r="AF307" s="196"/>
      <c r="AG307" s="189"/>
      <c r="AH307" s="188"/>
      <c r="AI307" s="188"/>
      <c r="AJ307" s="189"/>
      <c r="AK307" s="188"/>
      <c r="AL307" s="188"/>
      <c r="AM307" s="183"/>
      <c r="AN307" s="183"/>
      <c r="AO307" s="183"/>
      <c r="AP307" s="183"/>
      <c r="AQ307" s="273"/>
    </row>
    <row r="308" spans="1:43" x14ac:dyDescent="0.25">
      <c r="A308" s="402">
        <v>5</v>
      </c>
      <c r="B308" s="332">
        <v>2</v>
      </c>
      <c r="C308" s="332">
        <v>2</v>
      </c>
      <c r="D308" s="332">
        <v>15</v>
      </c>
      <c r="E308" s="400"/>
      <c r="F308" s="97" t="s">
        <v>50</v>
      </c>
      <c r="G308" s="98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48"/>
      <c r="AC308" s="49"/>
      <c r="AD308" s="34">
        <f>+AD309+AD312</f>
        <v>265170000</v>
      </c>
      <c r="AE308" s="63">
        <f>(AD308/AD$13)*100</f>
        <v>2.0096256574865254</v>
      </c>
      <c r="AF308" s="196"/>
      <c r="AG308" s="189"/>
      <c r="AH308" s="188"/>
      <c r="AI308" s="188"/>
      <c r="AJ308" s="189"/>
      <c r="AK308" s="188"/>
      <c r="AL308" s="188"/>
      <c r="AM308" s="183"/>
      <c r="AN308" s="183"/>
      <c r="AO308" s="183"/>
      <c r="AP308" s="183"/>
      <c r="AQ308" s="273"/>
    </row>
    <row r="309" spans="1:43" x14ac:dyDescent="0.25">
      <c r="A309" s="402">
        <v>5</v>
      </c>
      <c r="B309" s="332">
        <v>2</v>
      </c>
      <c r="C309" s="332">
        <v>2</v>
      </c>
      <c r="D309" s="332">
        <v>15</v>
      </c>
      <c r="E309" s="403" t="s">
        <v>5</v>
      </c>
      <c r="F309" s="57" t="s">
        <v>132</v>
      </c>
      <c r="G309" s="58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48"/>
      <c r="AC309" s="49"/>
      <c r="AD309" s="34">
        <f>+AD310</f>
        <v>133170000</v>
      </c>
      <c r="AE309" s="63">
        <f>(AD309/AD$13)*100</f>
        <v>1.0092463280442003</v>
      </c>
      <c r="AF309" s="196"/>
      <c r="AG309" s="189"/>
      <c r="AH309" s="188"/>
      <c r="AI309" s="188"/>
      <c r="AJ309" s="189"/>
      <c r="AK309" s="188"/>
      <c r="AL309" s="188"/>
      <c r="AM309" s="183"/>
      <c r="AN309" s="183"/>
      <c r="AO309" s="183"/>
      <c r="AP309" s="183"/>
      <c r="AQ309" s="273"/>
    </row>
    <row r="310" spans="1:43" x14ac:dyDescent="0.25">
      <c r="A310" s="402"/>
      <c r="B310" s="332"/>
      <c r="C310" s="332"/>
      <c r="D310" s="332"/>
      <c r="E310" s="400"/>
      <c r="F310" s="53" t="s">
        <v>37</v>
      </c>
      <c r="G310" s="88" t="s">
        <v>199</v>
      </c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48"/>
      <c r="AC310" s="49"/>
      <c r="AD310" s="74">
        <v>133170000</v>
      </c>
      <c r="AE310" s="63">
        <f>(AD310/AD$13)*100</f>
        <v>1.0092463280442003</v>
      </c>
      <c r="AF310" s="196"/>
      <c r="AG310" s="189">
        <f>+AD310/5</f>
        <v>26634000</v>
      </c>
      <c r="AH310" s="188"/>
      <c r="AI310" s="188">
        <f>+AG310</f>
        <v>26634000</v>
      </c>
      <c r="AJ310" s="188">
        <f>+AI310</f>
        <v>26634000</v>
      </c>
      <c r="AK310" s="188"/>
      <c r="AL310" s="188"/>
      <c r="AM310" s="188">
        <f>+AJ310</f>
        <v>26634000</v>
      </c>
      <c r="AN310" s="188">
        <f>+AM310</f>
        <v>26634000</v>
      </c>
      <c r="AO310" s="188"/>
      <c r="AP310" s="188"/>
      <c r="AQ310" s="273"/>
    </row>
    <row r="311" spans="1:43" x14ac:dyDescent="0.25">
      <c r="A311" s="402"/>
      <c r="B311" s="332"/>
      <c r="C311" s="332"/>
      <c r="D311" s="332"/>
      <c r="E311" s="400"/>
      <c r="F311" s="53"/>
      <c r="G311" s="88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48"/>
      <c r="AC311" s="49"/>
      <c r="AD311" s="74"/>
      <c r="AE311" s="127"/>
      <c r="AF311" s="196"/>
      <c r="AG311" s="189"/>
      <c r="AH311" s="188"/>
      <c r="AI311" s="188"/>
      <c r="AJ311" s="189"/>
      <c r="AK311" s="188"/>
      <c r="AL311" s="188"/>
      <c r="AM311" s="183"/>
      <c r="AN311" s="183"/>
      <c r="AO311" s="183"/>
      <c r="AP311" s="183"/>
      <c r="AQ311" s="273"/>
    </row>
    <row r="312" spans="1:43" x14ac:dyDescent="0.25">
      <c r="A312" s="402">
        <v>5</v>
      </c>
      <c r="B312" s="332">
        <v>2</v>
      </c>
      <c r="C312" s="332">
        <v>2</v>
      </c>
      <c r="D312" s="332">
        <v>15</v>
      </c>
      <c r="E312" s="403" t="s">
        <v>10</v>
      </c>
      <c r="F312" s="53" t="s">
        <v>62</v>
      </c>
      <c r="G312" s="88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48"/>
      <c r="AC312" s="49"/>
      <c r="AD312" s="34">
        <f>+AD313</f>
        <v>132000000</v>
      </c>
      <c r="AE312" s="63">
        <f>(AD312/AD$13)*100</f>
        <v>1.0003793294423251</v>
      </c>
      <c r="AF312" s="196"/>
      <c r="AG312" s="189"/>
      <c r="AH312" s="188"/>
      <c r="AI312" s="188"/>
      <c r="AJ312" s="189"/>
      <c r="AK312" s="188"/>
      <c r="AL312" s="188"/>
      <c r="AM312" s="183"/>
      <c r="AN312" s="183"/>
      <c r="AO312" s="183"/>
      <c r="AP312" s="183"/>
      <c r="AQ312" s="273"/>
    </row>
    <row r="313" spans="1:43" x14ac:dyDescent="0.25">
      <c r="A313" s="402"/>
      <c r="B313" s="332"/>
      <c r="C313" s="332"/>
      <c r="D313" s="332"/>
      <c r="E313" s="403"/>
      <c r="F313" s="53" t="s">
        <v>37</v>
      </c>
      <c r="G313" s="88" t="s">
        <v>200</v>
      </c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48"/>
      <c r="AC313" s="49"/>
      <c r="AD313" s="74">
        <v>132000000</v>
      </c>
      <c r="AE313" s="63">
        <f>(AD313/AD$13)*100</f>
        <v>1.0003793294423251</v>
      </c>
      <c r="AF313" s="196"/>
      <c r="AG313" s="189">
        <v>10000000</v>
      </c>
      <c r="AH313" s="188">
        <v>30000000</v>
      </c>
      <c r="AI313" s="188">
        <v>10000000</v>
      </c>
      <c r="AJ313" s="188">
        <v>12000000</v>
      </c>
      <c r="AK313" s="188"/>
      <c r="AL313" s="188">
        <f>+AH313</f>
        <v>30000000</v>
      </c>
      <c r="AM313" s="183">
        <v>40000000</v>
      </c>
      <c r="AN313" s="183"/>
      <c r="AO313" s="183"/>
      <c r="AP313" s="183"/>
      <c r="AQ313" s="273"/>
    </row>
    <row r="314" spans="1:43" x14ac:dyDescent="0.25">
      <c r="A314" s="402"/>
      <c r="B314" s="332"/>
      <c r="C314" s="332"/>
      <c r="D314" s="332"/>
      <c r="E314" s="403"/>
      <c r="F314" s="53"/>
      <c r="G314" s="88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48"/>
      <c r="AC314" s="49"/>
      <c r="AD314" s="74"/>
      <c r="AE314" s="127"/>
      <c r="AF314" s="196"/>
      <c r="AG314" s="189"/>
      <c r="AH314" s="188"/>
      <c r="AI314" s="188"/>
      <c r="AJ314" s="189"/>
      <c r="AK314" s="188"/>
      <c r="AL314" s="188"/>
      <c r="AM314" s="183"/>
      <c r="AN314" s="183"/>
      <c r="AO314" s="183"/>
      <c r="AP314" s="183"/>
      <c r="AQ314" s="273"/>
    </row>
    <row r="315" spans="1:43" x14ac:dyDescent="0.25">
      <c r="A315" s="402">
        <v>5</v>
      </c>
      <c r="B315" s="332">
        <v>2</v>
      </c>
      <c r="C315" s="332">
        <v>2</v>
      </c>
      <c r="D315" s="332">
        <v>17</v>
      </c>
      <c r="E315" s="400"/>
      <c r="F315" s="97" t="s">
        <v>201</v>
      </c>
      <c r="G315" s="98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48"/>
      <c r="AC315" s="49"/>
      <c r="AD315" s="34">
        <f>+AD316+AD318</f>
        <v>35640000</v>
      </c>
      <c r="AE315" s="63">
        <f>(AD315/AD$13)*100</f>
        <v>0.27010241894942777</v>
      </c>
      <c r="AF315" s="196"/>
      <c r="AG315" s="189"/>
      <c r="AH315" s="188"/>
      <c r="AI315" s="188"/>
      <c r="AJ315" s="189"/>
      <c r="AK315" s="188"/>
      <c r="AL315" s="188"/>
      <c r="AM315" s="183"/>
      <c r="AN315" s="183"/>
      <c r="AO315" s="183"/>
      <c r="AP315" s="183"/>
      <c r="AQ315" s="273"/>
    </row>
    <row r="316" spans="1:43" x14ac:dyDescent="0.25">
      <c r="A316" s="402">
        <v>5</v>
      </c>
      <c r="B316" s="332">
        <v>2</v>
      </c>
      <c r="C316" s="332">
        <v>2</v>
      </c>
      <c r="D316" s="332">
        <v>17</v>
      </c>
      <c r="E316" s="403" t="s">
        <v>5</v>
      </c>
      <c r="F316" s="57" t="s">
        <v>268</v>
      </c>
      <c r="G316" s="58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48"/>
      <c r="AC316" s="49"/>
      <c r="AD316" s="34">
        <f>+AD317</f>
        <v>27000000</v>
      </c>
      <c r="AE316" s="63">
        <f>(AD316/AD$13)*100</f>
        <v>0.20462304465865741</v>
      </c>
      <c r="AF316" s="196"/>
      <c r="AG316" s="189"/>
      <c r="AH316" s="188"/>
      <c r="AI316" s="188"/>
      <c r="AJ316" s="189"/>
      <c r="AK316" s="188"/>
      <c r="AL316" s="188"/>
      <c r="AM316" s="183"/>
      <c r="AN316" s="183"/>
      <c r="AO316" s="183"/>
      <c r="AP316" s="183"/>
      <c r="AQ316" s="273"/>
    </row>
    <row r="317" spans="1:43" x14ac:dyDescent="0.25">
      <c r="A317" s="402"/>
      <c r="B317" s="332"/>
      <c r="C317" s="332"/>
      <c r="D317" s="332"/>
      <c r="E317" s="400"/>
      <c r="F317" s="53" t="s">
        <v>37</v>
      </c>
      <c r="G317" s="88" t="s">
        <v>269</v>
      </c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48"/>
      <c r="AC317" s="49"/>
      <c r="AD317" s="74">
        <v>27000000</v>
      </c>
      <c r="AE317" s="63">
        <f>(AD317/AD$13)*100</f>
        <v>0.20462304465865741</v>
      </c>
      <c r="AF317" s="196"/>
      <c r="AG317" s="188">
        <f>+AD317</f>
        <v>27000000</v>
      </c>
      <c r="AH317" s="188"/>
      <c r="AI317" s="188"/>
      <c r="AJ317" s="189"/>
      <c r="AK317" s="188"/>
      <c r="AL317" s="188"/>
      <c r="AM317" s="183"/>
      <c r="AN317" s="183"/>
      <c r="AO317" s="183"/>
      <c r="AP317" s="183"/>
      <c r="AQ317" s="273"/>
    </row>
    <row r="318" spans="1:43" x14ac:dyDescent="0.25">
      <c r="A318" s="402">
        <v>5</v>
      </c>
      <c r="B318" s="332">
        <v>2</v>
      </c>
      <c r="C318" s="332">
        <v>2</v>
      </c>
      <c r="D318" s="332">
        <v>17</v>
      </c>
      <c r="E318" s="403" t="s">
        <v>10</v>
      </c>
      <c r="F318" s="57" t="s">
        <v>202</v>
      </c>
      <c r="G318" s="58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48"/>
      <c r="AC318" s="49"/>
      <c r="AD318" s="34">
        <f>+AD319</f>
        <v>8640000</v>
      </c>
      <c r="AE318" s="63">
        <f>(AD318/AD$13)*100</f>
        <v>6.5479374290770359E-2</v>
      </c>
      <c r="AF318" s="196"/>
      <c r="AG318" s="189"/>
      <c r="AH318" s="188"/>
      <c r="AI318" s="188"/>
      <c r="AJ318" s="189"/>
      <c r="AK318" s="188"/>
      <c r="AL318" s="188"/>
      <c r="AM318" s="183"/>
      <c r="AN318" s="183"/>
      <c r="AO318" s="183"/>
      <c r="AP318" s="183"/>
      <c r="AQ318" s="273"/>
    </row>
    <row r="319" spans="1:43" x14ac:dyDescent="0.25">
      <c r="A319" s="402"/>
      <c r="B319" s="332"/>
      <c r="C319" s="332"/>
      <c r="D319" s="332"/>
      <c r="E319" s="400"/>
      <c r="F319" s="53" t="s">
        <v>37</v>
      </c>
      <c r="G319" s="88" t="s">
        <v>203</v>
      </c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48"/>
      <c r="AC319" s="49"/>
      <c r="AD319" s="74">
        <v>8640000</v>
      </c>
      <c r="AE319" s="63">
        <f>(AD319/AD$13)*100</f>
        <v>6.5479374290770359E-2</v>
      </c>
      <c r="AF319" s="196"/>
      <c r="AG319" s="188">
        <f>+AD319</f>
        <v>8640000</v>
      </c>
      <c r="AH319" s="72"/>
      <c r="AI319" s="188"/>
      <c r="AJ319" s="189"/>
      <c r="AK319" s="188"/>
      <c r="AL319" s="188"/>
      <c r="AM319" s="183"/>
      <c r="AN319" s="183"/>
      <c r="AO319" s="183"/>
      <c r="AP319" s="183"/>
      <c r="AQ319" s="273"/>
    </row>
    <row r="320" spans="1:43" ht="13.8" thickBot="1" x14ac:dyDescent="0.3">
      <c r="A320" s="402"/>
      <c r="B320" s="332"/>
      <c r="C320" s="332"/>
      <c r="D320" s="332"/>
      <c r="E320" s="400"/>
      <c r="F320" s="73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48"/>
      <c r="AC320" s="49"/>
      <c r="AD320" s="74"/>
      <c r="AE320" s="127"/>
      <c r="AF320" s="196"/>
      <c r="AG320" s="189"/>
      <c r="AH320" s="188"/>
      <c r="AI320" s="188"/>
      <c r="AJ320" s="189"/>
      <c r="AK320" s="188"/>
      <c r="AL320" s="188"/>
      <c r="AM320" s="183"/>
      <c r="AN320" s="183"/>
      <c r="AO320" s="183"/>
      <c r="AP320" s="183"/>
      <c r="AQ320" s="273"/>
    </row>
    <row r="321" spans="1:43" ht="13.8" thickTop="1" x14ac:dyDescent="0.25">
      <c r="A321" s="407"/>
      <c r="B321" s="408"/>
      <c r="C321" s="408"/>
      <c r="D321" s="408"/>
      <c r="E321" s="409"/>
      <c r="F321" s="242"/>
      <c r="G321" s="237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7"/>
      <c r="S321" s="237"/>
      <c r="T321" s="237"/>
      <c r="U321" s="237"/>
      <c r="V321" s="237"/>
      <c r="W321" s="237"/>
      <c r="X321" s="237"/>
      <c r="Y321" s="237"/>
      <c r="Z321" s="237"/>
      <c r="AA321" s="237"/>
      <c r="AB321" s="238"/>
      <c r="AC321" s="239"/>
      <c r="AD321" s="257">
        <f>SUM(AF321:AQ321)</f>
        <v>1761728100.0000005</v>
      </c>
      <c r="AE321" s="240"/>
      <c r="AF321" s="241">
        <f t="shared" ref="AF321:AQ321" si="34">SUM(AF217:AF320)</f>
        <v>0</v>
      </c>
      <c r="AG321" s="241">
        <f t="shared" si="34"/>
        <v>205009122.22222221</v>
      </c>
      <c r="AH321" s="241">
        <f t="shared" si="34"/>
        <v>186013122.22222221</v>
      </c>
      <c r="AI321" s="241">
        <f t="shared" si="34"/>
        <v>185458122.22222221</v>
      </c>
      <c r="AJ321" s="241">
        <f t="shared" si="34"/>
        <v>264109122.22222221</v>
      </c>
      <c r="AK321" s="241">
        <f t="shared" si="34"/>
        <v>271483122.22222221</v>
      </c>
      <c r="AL321" s="241">
        <f t="shared" si="34"/>
        <v>163469122.22222221</v>
      </c>
      <c r="AM321" s="241">
        <f t="shared" si="34"/>
        <v>184549122.22222221</v>
      </c>
      <c r="AN321" s="241">
        <f t="shared" si="34"/>
        <v>181762122.22222221</v>
      </c>
      <c r="AO321" s="241">
        <f t="shared" si="34"/>
        <v>91693122.222222209</v>
      </c>
      <c r="AP321" s="241">
        <f t="shared" si="34"/>
        <v>28182000</v>
      </c>
      <c r="AQ321" s="278">
        <f t="shared" si="34"/>
        <v>0</v>
      </c>
    </row>
    <row r="322" spans="1:43" ht="13.8" thickBot="1" x14ac:dyDescent="0.3">
      <c r="A322" s="440"/>
      <c r="B322" s="441"/>
      <c r="C322" s="441"/>
      <c r="D322" s="441"/>
      <c r="E322" s="442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62"/>
      <c r="AC322" s="244"/>
      <c r="AD322" s="266" t="s">
        <v>225</v>
      </c>
      <c r="AE322" s="245"/>
      <c r="AF322" s="978">
        <f>+AF321+AG321+AH321</f>
        <v>391022244.44444442</v>
      </c>
      <c r="AG322" s="979"/>
      <c r="AH322" s="258"/>
      <c r="AI322" s="980">
        <f>+AI321+AJ321+AK321</f>
        <v>721050366.66666663</v>
      </c>
      <c r="AJ322" s="981"/>
      <c r="AK322" s="259"/>
      <c r="AL322" s="982">
        <f>+AL321+AM321+AN321</f>
        <v>529780366.66666663</v>
      </c>
      <c r="AM322" s="983"/>
      <c r="AN322" s="260"/>
      <c r="AO322" s="976">
        <f>+AO321+AP321+AQ321</f>
        <v>119875122.22222221</v>
      </c>
      <c r="AP322" s="977"/>
      <c r="AQ322" s="283"/>
    </row>
    <row r="323" spans="1:43" x14ac:dyDescent="0.25">
      <c r="A323" s="263" t="s">
        <v>222</v>
      </c>
      <c r="B323" s="264"/>
      <c r="C323" s="264"/>
      <c r="D323" s="264"/>
      <c r="E323" s="264"/>
      <c r="F323" s="264"/>
      <c r="G323" s="264"/>
      <c r="H323" s="264" t="s">
        <v>221</v>
      </c>
      <c r="I323" s="264"/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5"/>
      <c r="AD323" s="112">
        <f>AD324</f>
        <v>2002706000</v>
      </c>
      <c r="AE323" s="63">
        <f>(AD323/AD$13)*100</f>
        <v>15.177770343561523</v>
      </c>
      <c r="AF323" s="202"/>
      <c r="AG323" s="200"/>
      <c r="AH323" s="199"/>
      <c r="AI323" s="214"/>
      <c r="AJ323" s="200"/>
      <c r="AK323" s="199"/>
      <c r="AL323" s="199"/>
      <c r="AM323" s="201"/>
      <c r="AN323" s="201"/>
      <c r="AO323" s="201"/>
      <c r="AP323" s="201"/>
      <c r="AQ323" s="284"/>
    </row>
    <row r="324" spans="1:43" x14ac:dyDescent="0.25">
      <c r="A324" s="104" t="s">
        <v>223</v>
      </c>
      <c r="B324" s="45"/>
      <c r="C324" s="45"/>
      <c r="D324" s="45"/>
      <c r="E324" s="45"/>
      <c r="F324" s="45"/>
      <c r="G324" s="45"/>
      <c r="H324" s="1028" t="s">
        <v>224</v>
      </c>
      <c r="I324" s="1028"/>
      <c r="J324" s="1028"/>
      <c r="K324" s="1028"/>
      <c r="L324" s="1028"/>
      <c r="M324" s="1028"/>
      <c r="N324" s="1028"/>
      <c r="O324" s="1028"/>
      <c r="P324" s="1028"/>
      <c r="Q324" s="1028"/>
      <c r="R324" s="1028"/>
      <c r="S324" s="1028"/>
      <c r="T324" s="1028"/>
      <c r="U324" s="1028"/>
      <c r="V324" s="1028"/>
      <c r="W324" s="1028"/>
      <c r="X324" s="1028"/>
      <c r="Y324" s="1028"/>
      <c r="Z324" s="1028"/>
      <c r="AA324" s="1028"/>
      <c r="AB324" s="1028"/>
      <c r="AC324" s="1029"/>
      <c r="AD324" s="111">
        <f>+AD326+AD331</f>
        <v>2002706000</v>
      </c>
      <c r="AE324" s="63">
        <f>(AD324/AD$13)*100</f>
        <v>15.177770343561523</v>
      </c>
      <c r="AF324" s="203"/>
      <c r="AG324" s="190"/>
      <c r="AH324" s="188"/>
      <c r="AI324" s="117"/>
      <c r="AJ324" s="189"/>
      <c r="AK324" s="188"/>
      <c r="AL324" s="188"/>
      <c r="AM324" s="183"/>
      <c r="AN324" s="183"/>
      <c r="AO324" s="183"/>
      <c r="AP324" s="183"/>
      <c r="AQ324" s="273"/>
    </row>
    <row r="325" spans="1:43" ht="12.75" customHeight="1" x14ac:dyDescent="0.25">
      <c r="A325" s="104"/>
      <c r="B325" s="45"/>
      <c r="C325" s="45"/>
      <c r="D325" s="45"/>
      <c r="E325" s="45"/>
      <c r="F325" s="45"/>
      <c r="G325" s="45"/>
      <c r="H325" s="1030"/>
      <c r="I325" s="1030"/>
      <c r="J325" s="1030"/>
      <c r="K325" s="1030"/>
      <c r="L325" s="1030"/>
      <c r="M325" s="1030"/>
      <c r="N325" s="1030"/>
      <c r="O325" s="1030"/>
      <c r="P325" s="1030"/>
      <c r="Q325" s="1030"/>
      <c r="R325" s="1030"/>
      <c r="S325" s="1030"/>
      <c r="T325" s="1030"/>
      <c r="U325" s="1030"/>
      <c r="V325" s="1030"/>
      <c r="W325" s="1030"/>
      <c r="X325" s="1030"/>
      <c r="Y325" s="1030"/>
      <c r="Z325" s="1030"/>
      <c r="AA325" s="1030"/>
      <c r="AB325" s="1030"/>
      <c r="AC325" s="1031"/>
      <c r="AD325" s="71"/>
      <c r="AE325" s="127"/>
      <c r="AF325" s="117"/>
      <c r="AG325" s="189"/>
      <c r="AH325" s="188"/>
      <c r="AI325" s="117"/>
      <c r="AJ325" s="189"/>
      <c r="AK325" s="188"/>
      <c r="AL325" s="188"/>
      <c r="AM325" s="183"/>
      <c r="AN325" s="194"/>
      <c r="AO325" s="195"/>
      <c r="AP325" s="195"/>
      <c r="AQ325" s="276"/>
    </row>
    <row r="326" spans="1:43" x14ac:dyDescent="0.25">
      <c r="A326" s="402">
        <v>5</v>
      </c>
      <c r="B326" s="332">
        <v>2</v>
      </c>
      <c r="C326" s="332">
        <v>1</v>
      </c>
      <c r="D326" s="332"/>
      <c r="E326" s="400"/>
      <c r="F326" s="1032" t="s">
        <v>58</v>
      </c>
      <c r="G326" s="1033"/>
      <c r="H326" s="1033"/>
      <c r="I326" s="1033"/>
      <c r="J326" s="1033"/>
      <c r="K326" s="1033"/>
      <c r="L326" s="1033"/>
      <c r="M326" s="1033"/>
      <c r="N326" s="1033"/>
      <c r="O326" s="1033"/>
      <c r="P326" s="1033"/>
      <c r="Q326" s="1033"/>
      <c r="R326" s="1033"/>
      <c r="S326" s="1033"/>
      <c r="T326" s="1033"/>
      <c r="U326" s="1033"/>
      <c r="V326" s="1033"/>
      <c r="W326" s="1033"/>
      <c r="X326" s="1033"/>
      <c r="Y326" s="1033"/>
      <c r="Z326" s="1033"/>
      <c r="AA326" s="1033"/>
      <c r="AB326" s="1033"/>
      <c r="AC326" s="1034"/>
      <c r="AD326" s="70">
        <f>+AD327</f>
        <v>1626000</v>
      </c>
      <c r="AE326" s="63">
        <f>(AD326/AD$13)*100</f>
        <v>1.2322854467221369E-2</v>
      </c>
      <c r="AF326" s="116"/>
      <c r="AG326" s="190"/>
      <c r="AH326" s="188"/>
      <c r="AI326" s="117"/>
      <c r="AJ326" s="189"/>
      <c r="AK326" s="188"/>
      <c r="AL326" s="188"/>
      <c r="AM326" s="183"/>
      <c r="AN326" s="183"/>
      <c r="AO326" s="183"/>
      <c r="AP326" s="183"/>
      <c r="AQ326" s="273"/>
    </row>
    <row r="327" spans="1:43" x14ac:dyDescent="0.25">
      <c r="A327" s="402">
        <v>5</v>
      </c>
      <c r="B327" s="332">
        <v>2</v>
      </c>
      <c r="C327" s="332">
        <v>1</v>
      </c>
      <c r="D327" s="333" t="s">
        <v>5</v>
      </c>
      <c r="E327" s="400"/>
      <c r="F327" s="53" t="s">
        <v>51</v>
      </c>
      <c r="G327" s="54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50"/>
      <c r="AC327" s="51"/>
      <c r="AD327" s="70">
        <f>+AD328</f>
        <v>1626000</v>
      </c>
      <c r="AE327" s="63">
        <f>(AD327/AD$13)*100</f>
        <v>1.2322854467221369E-2</v>
      </c>
      <c r="AF327" s="116"/>
      <c r="AG327" s="190"/>
      <c r="AH327" s="188"/>
      <c r="AI327" s="117"/>
      <c r="AJ327" s="189"/>
      <c r="AK327" s="188"/>
      <c r="AL327" s="188"/>
      <c r="AM327" s="183"/>
      <c r="AN327" s="183"/>
      <c r="AO327" s="183"/>
      <c r="AP327" s="183"/>
      <c r="AQ327" s="273"/>
    </row>
    <row r="328" spans="1:43" x14ac:dyDescent="0.25">
      <c r="A328" s="402">
        <v>5</v>
      </c>
      <c r="B328" s="332">
        <v>2</v>
      </c>
      <c r="C328" s="332">
        <v>1</v>
      </c>
      <c r="D328" s="333" t="s">
        <v>5</v>
      </c>
      <c r="E328" s="403" t="s">
        <v>5</v>
      </c>
      <c r="F328" s="53" t="s">
        <v>60</v>
      </c>
      <c r="G328" s="54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50"/>
      <c r="AC328" s="51"/>
      <c r="AD328" s="71">
        <f>+AD329</f>
        <v>1626000</v>
      </c>
      <c r="AE328" s="63">
        <f>(AD328/AD$13)*100</f>
        <v>1.2322854467221369E-2</v>
      </c>
      <c r="AF328" s="196"/>
      <c r="AG328" s="190"/>
      <c r="AH328" s="188"/>
      <c r="AI328" s="117"/>
      <c r="AJ328" s="189"/>
      <c r="AK328" s="188"/>
      <c r="AL328" s="188"/>
      <c r="AM328" s="183"/>
      <c r="AN328" s="183"/>
      <c r="AO328" s="183"/>
      <c r="AP328" s="183"/>
      <c r="AQ328" s="273"/>
    </row>
    <row r="329" spans="1:43" x14ac:dyDescent="0.25">
      <c r="A329" s="402"/>
      <c r="B329" s="332"/>
      <c r="C329" s="332"/>
      <c r="D329" s="332"/>
      <c r="E329" s="400"/>
      <c r="F329" s="53" t="s">
        <v>37</v>
      </c>
      <c r="G329" s="54" t="s">
        <v>154</v>
      </c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50"/>
      <c r="AC329" s="51"/>
      <c r="AD329" s="71">
        <v>1626000</v>
      </c>
      <c r="AE329" s="63">
        <f>(AD329/AD$13)*100</f>
        <v>1.2322854467221369E-2</v>
      </c>
      <c r="AF329" s="196"/>
      <c r="AG329" s="190"/>
      <c r="AH329" s="188"/>
      <c r="AI329" s="188">
        <f>+AD329</f>
        <v>1626000</v>
      </c>
      <c r="AJ329" s="189"/>
      <c r="AK329" s="188"/>
      <c r="AL329" s="188"/>
      <c r="AM329" s="183"/>
      <c r="AN329" s="183"/>
      <c r="AO329" s="183"/>
      <c r="AP329" s="183"/>
      <c r="AQ329" s="273"/>
    </row>
    <row r="330" spans="1:43" x14ac:dyDescent="0.25">
      <c r="A330" s="402"/>
      <c r="B330" s="332"/>
      <c r="C330" s="332"/>
      <c r="D330" s="332"/>
      <c r="E330" s="400"/>
      <c r="F330" s="96"/>
      <c r="G330" s="54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50"/>
      <c r="AC330" s="51"/>
      <c r="AD330" s="71"/>
      <c r="AE330" s="127"/>
      <c r="AF330" s="196"/>
      <c r="AG330" s="189"/>
      <c r="AH330" s="188"/>
      <c r="AI330" s="188"/>
      <c r="AJ330" s="189"/>
      <c r="AK330" s="188"/>
      <c r="AL330" s="188"/>
      <c r="AM330" s="183"/>
      <c r="AN330" s="194"/>
      <c r="AO330" s="195"/>
      <c r="AP330" s="195"/>
      <c r="AQ330" s="276"/>
    </row>
    <row r="331" spans="1:43" x14ac:dyDescent="0.25">
      <c r="A331" s="402">
        <v>5</v>
      </c>
      <c r="B331" s="332">
        <v>2</v>
      </c>
      <c r="C331" s="332">
        <v>3</v>
      </c>
      <c r="D331" s="332"/>
      <c r="E331" s="400"/>
      <c r="F331" s="57" t="s">
        <v>155</v>
      </c>
      <c r="G331" s="54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50"/>
      <c r="AC331" s="51"/>
      <c r="AD331" s="70">
        <f>+AD332</f>
        <v>2001080000</v>
      </c>
      <c r="AE331" s="63">
        <f>(AD331/AD$13)*100</f>
        <v>15.165447489094303</v>
      </c>
      <c r="AF331" s="116"/>
      <c r="AG331" s="190"/>
      <c r="AH331" s="188"/>
      <c r="AI331" s="117"/>
      <c r="AJ331" s="189"/>
      <c r="AK331" s="188"/>
      <c r="AL331" s="188"/>
      <c r="AM331" s="183"/>
      <c r="AN331" s="183"/>
      <c r="AO331" s="183"/>
      <c r="AP331" s="183"/>
      <c r="AQ331" s="273"/>
    </row>
    <row r="332" spans="1:43" x14ac:dyDescent="0.25">
      <c r="A332" s="402">
        <v>5</v>
      </c>
      <c r="B332" s="332">
        <v>2</v>
      </c>
      <c r="C332" s="332">
        <v>3</v>
      </c>
      <c r="D332" s="333">
        <v>23</v>
      </c>
      <c r="E332" s="400"/>
      <c r="F332" s="53" t="s">
        <v>156</v>
      </c>
      <c r="G332" s="54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50"/>
      <c r="AC332" s="51"/>
      <c r="AD332" s="70">
        <f>+AD333+AD335</f>
        <v>2001080000</v>
      </c>
      <c r="AE332" s="63">
        <f>(AD332/AD$13)*100</f>
        <v>15.165447489094303</v>
      </c>
      <c r="AF332" s="116"/>
      <c r="AG332" s="190"/>
      <c r="AH332" s="188"/>
      <c r="AI332" s="117"/>
      <c r="AJ332" s="189"/>
      <c r="AK332" s="188"/>
      <c r="AL332" s="188"/>
      <c r="AM332" s="183"/>
      <c r="AN332" s="183"/>
      <c r="AO332" s="183"/>
      <c r="AP332" s="183"/>
      <c r="AQ332" s="273"/>
    </row>
    <row r="333" spans="1:43" x14ac:dyDescent="0.25">
      <c r="A333" s="402">
        <v>5</v>
      </c>
      <c r="B333" s="332">
        <v>2</v>
      </c>
      <c r="C333" s="332">
        <v>3</v>
      </c>
      <c r="D333" s="333">
        <v>23</v>
      </c>
      <c r="E333" s="403" t="s">
        <v>52</v>
      </c>
      <c r="F333" s="53" t="s">
        <v>157</v>
      </c>
      <c r="G333" s="54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50"/>
      <c r="AC333" s="51"/>
      <c r="AD333" s="71">
        <f>+AD334+AD336+AD339+AD343+AD346+AD349+AD353+AD356</f>
        <v>2001080000</v>
      </c>
      <c r="AE333" s="63">
        <f>(AD333/AD$13)*100</f>
        <v>15.165447489094303</v>
      </c>
      <c r="AF333" s="196"/>
      <c r="AG333" s="190"/>
      <c r="AH333" s="188"/>
      <c r="AI333" s="188"/>
      <c r="AJ333" s="189"/>
      <c r="AK333" s="188"/>
      <c r="AL333" s="188"/>
      <c r="AM333" s="183"/>
      <c r="AN333" s="183"/>
      <c r="AO333" s="183"/>
      <c r="AP333" s="183"/>
      <c r="AQ333" s="273"/>
    </row>
    <row r="334" spans="1:43" x14ac:dyDescent="0.25">
      <c r="A334" s="402"/>
      <c r="B334" s="332"/>
      <c r="C334" s="332"/>
      <c r="D334" s="332"/>
      <c r="E334" s="400"/>
      <c r="F334" s="96" t="s">
        <v>37</v>
      </c>
      <c r="G334" s="54" t="s">
        <v>158</v>
      </c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50"/>
      <c r="AC334" s="51"/>
      <c r="AD334" s="71">
        <v>1729000000</v>
      </c>
      <c r="AE334" s="63">
        <f>(AD334/AD$13)*100</f>
        <v>13.103453489437728</v>
      </c>
      <c r="AF334" s="196"/>
      <c r="AG334" s="189"/>
      <c r="AH334" s="188"/>
      <c r="AI334" s="188"/>
      <c r="AJ334" s="189"/>
      <c r="AK334" s="188">
        <f>0.3*AD334</f>
        <v>518700000</v>
      </c>
      <c r="AL334" s="183">
        <f>0.5*AD334-(0.5*AK334)</f>
        <v>605150000</v>
      </c>
      <c r="AM334" s="183">
        <f>+AL334</f>
        <v>605150000</v>
      </c>
      <c r="AN334" s="318"/>
      <c r="AO334" s="195"/>
      <c r="AP334" s="195"/>
      <c r="AQ334" s="276"/>
    </row>
    <row r="335" spans="1:43" x14ac:dyDescent="0.25">
      <c r="A335" s="402"/>
      <c r="B335" s="332"/>
      <c r="C335" s="332"/>
      <c r="D335" s="333"/>
      <c r="E335" s="403"/>
      <c r="F335" s="53"/>
      <c r="G335" s="54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50"/>
      <c r="AC335" s="51"/>
      <c r="AD335" s="71"/>
      <c r="AE335" s="127"/>
      <c r="AF335" s="116"/>
      <c r="AG335" s="190"/>
      <c r="AH335" s="188"/>
      <c r="AI335" s="188"/>
      <c r="AJ335" s="189"/>
      <c r="AK335" s="188"/>
      <c r="AL335" s="188"/>
      <c r="AM335" s="183"/>
      <c r="AN335" s="183"/>
      <c r="AO335" s="183"/>
      <c r="AP335" s="183"/>
      <c r="AQ335" s="273"/>
    </row>
    <row r="336" spans="1:43" x14ac:dyDescent="0.25">
      <c r="A336" s="402"/>
      <c r="B336" s="332"/>
      <c r="C336" s="332"/>
      <c r="D336" s="333"/>
      <c r="E336" s="403"/>
      <c r="F336" s="53" t="s">
        <v>159</v>
      </c>
      <c r="G336" s="54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50"/>
      <c r="AC336" s="51"/>
      <c r="AD336" s="71">
        <f>+AD337</f>
        <v>350000</v>
      </c>
      <c r="AE336" s="63">
        <f>(AD336/AD$13)*100</f>
        <v>2.6525209492788923E-3</v>
      </c>
      <c r="AF336" s="116"/>
      <c r="AG336" s="190"/>
      <c r="AH336" s="188"/>
      <c r="AI336" s="188"/>
      <c r="AJ336" s="189"/>
      <c r="AK336" s="188"/>
      <c r="AL336" s="188"/>
      <c r="AM336" s="183"/>
      <c r="AN336" s="183"/>
      <c r="AO336" s="183"/>
      <c r="AP336" s="183"/>
      <c r="AQ336" s="273"/>
    </row>
    <row r="337" spans="1:43" x14ac:dyDescent="0.25">
      <c r="A337" s="402"/>
      <c r="B337" s="332"/>
      <c r="C337" s="332"/>
      <c r="D337" s="333"/>
      <c r="E337" s="403"/>
      <c r="F337" s="96" t="s">
        <v>37</v>
      </c>
      <c r="G337" s="54" t="s">
        <v>160</v>
      </c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50"/>
      <c r="AC337" s="51"/>
      <c r="AD337" s="71">
        <v>350000</v>
      </c>
      <c r="AE337" s="63">
        <f>(AD337/AD$13)*100</f>
        <v>2.6525209492788923E-3</v>
      </c>
      <c r="AF337" s="116"/>
      <c r="AG337" s="190"/>
      <c r="AH337" s="188"/>
      <c r="AI337" s="188"/>
      <c r="AJ337" s="189"/>
      <c r="AK337" s="188">
        <f>+AD337</f>
        <v>350000</v>
      </c>
      <c r="AL337" s="188"/>
      <c r="AM337" s="183"/>
      <c r="AN337" s="183"/>
      <c r="AO337" s="183"/>
      <c r="AP337" s="183"/>
      <c r="AQ337" s="273"/>
    </row>
    <row r="338" spans="1:43" x14ac:dyDescent="0.25">
      <c r="A338" s="402"/>
      <c r="B338" s="332"/>
      <c r="C338" s="332"/>
      <c r="D338" s="333"/>
      <c r="E338" s="403"/>
      <c r="F338" s="53"/>
      <c r="G338" s="54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50"/>
      <c r="AC338" s="51"/>
      <c r="AD338" s="70"/>
      <c r="AE338" s="127"/>
      <c r="AF338" s="116"/>
      <c r="AG338" s="190"/>
      <c r="AH338" s="188"/>
      <c r="AI338" s="188"/>
      <c r="AJ338" s="189"/>
      <c r="AK338" s="188"/>
      <c r="AL338" s="188"/>
      <c r="AM338" s="183"/>
      <c r="AN338" s="183"/>
      <c r="AO338" s="183"/>
      <c r="AP338" s="183"/>
      <c r="AQ338" s="273"/>
    </row>
    <row r="339" spans="1:43" x14ac:dyDescent="0.25">
      <c r="A339" s="402"/>
      <c r="B339" s="332"/>
      <c r="C339" s="332"/>
      <c r="D339" s="333"/>
      <c r="E339" s="403"/>
      <c r="F339" s="53" t="s">
        <v>139</v>
      </c>
      <c r="G339" s="54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50"/>
      <c r="AC339" s="51"/>
      <c r="AD339" s="71">
        <f>SUM(AD340:AD341)</f>
        <v>4360000</v>
      </c>
      <c r="AE339" s="63">
        <f>(AD339/AD$13)*100</f>
        <v>3.3042832396731343E-2</v>
      </c>
      <c r="AF339" s="116"/>
      <c r="AG339" s="190"/>
      <c r="AH339" s="188"/>
      <c r="AI339" s="188"/>
      <c r="AJ339" s="189"/>
      <c r="AK339" s="188"/>
      <c r="AL339" s="188"/>
      <c r="AM339" s="183"/>
      <c r="AN339" s="183"/>
      <c r="AO339" s="183"/>
      <c r="AP339" s="183"/>
      <c r="AQ339" s="273"/>
    </row>
    <row r="340" spans="1:43" x14ac:dyDescent="0.25">
      <c r="A340" s="402"/>
      <c r="B340" s="332"/>
      <c r="C340" s="332"/>
      <c r="D340" s="333"/>
      <c r="E340" s="403"/>
      <c r="F340" s="96" t="s">
        <v>37</v>
      </c>
      <c r="G340" s="54" t="s">
        <v>161</v>
      </c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50"/>
      <c r="AC340" s="51"/>
      <c r="AD340" s="71">
        <v>3010000</v>
      </c>
      <c r="AE340" s="63">
        <f>(AD340/AD$13)*100</f>
        <v>2.2811680163798476E-2</v>
      </c>
      <c r="AF340" s="116"/>
      <c r="AG340" s="190"/>
      <c r="AH340" s="188"/>
      <c r="AI340" s="188"/>
      <c r="AJ340" s="189"/>
      <c r="AK340" s="188"/>
      <c r="AL340" s="188"/>
      <c r="AM340" s="183">
        <f>+AD340</f>
        <v>3010000</v>
      </c>
      <c r="AN340" s="72"/>
      <c r="AO340" s="183"/>
      <c r="AP340" s="183"/>
      <c r="AQ340" s="273"/>
    </row>
    <row r="341" spans="1:43" x14ac:dyDescent="0.25">
      <c r="A341" s="402"/>
      <c r="B341" s="332"/>
      <c r="C341" s="332"/>
      <c r="D341" s="333"/>
      <c r="E341" s="403"/>
      <c r="F341" s="96" t="s">
        <v>37</v>
      </c>
      <c r="G341" s="54" t="s">
        <v>162</v>
      </c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50"/>
      <c r="AC341" s="51"/>
      <c r="AD341" s="71">
        <v>1350000</v>
      </c>
      <c r="AE341" s="63">
        <f>(AD341/AD$13)*100</f>
        <v>1.0231152232932871E-2</v>
      </c>
      <c r="AF341" s="116"/>
      <c r="AG341" s="190"/>
      <c r="AH341" s="188"/>
      <c r="AI341" s="188"/>
      <c r="AJ341" s="189">
        <f>+AD341</f>
        <v>1350000</v>
      </c>
      <c r="AK341" s="188"/>
      <c r="AL341" s="188"/>
      <c r="AM341" s="183"/>
      <c r="AN341" s="183"/>
      <c r="AO341" s="183"/>
      <c r="AP341" s="183"/>
      <c r="AQ341" s="273"/>
    </row>
    <row r="342" spans="1:43" x14ac:dyDescent="0.25">
      <c r="A342" s="402"/>
      <c r="B342" s="332"/>
      <c r="C342" s="332"/>
      <c r="D342" s="333"/>
      <c r="E342" s="403"/>
      <c r="F342" s="53"/>
      <c r="G342" s="54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50"/>
      <c r="AC342" s="51"/>
      <c r="AD342" s="70"/>
      <c r="AE342" s="127"/>
      <c r="AF342" s="116"/>
      <c r="AG342" s="190"/>
      <c r="AH342" s="188"/>
      <c r="AI342" s="188"/>
      <c r="AJ342" s="189"/>
      <c r="AK342" s="188"/>
      <c r="AL342" s="188"/>
      <c r="AM342" s="183"/>
      <c r="AN342" s="183"/>
      <c r="AO342" s="183"/>
      <c r="AP342" s="183"/>
      <c r="AQ342" s="273"/>
    </row>
    <row r="343" spans="1:43" x14ac:dyDescent="0.25">
      <c r="A343" s="402"/>
      <c r="B343" s="332"/>
      <c r="C343" s="332"/>
      <c r="D343" s="333"/>
      <c r="E343" s="403"/>
      <c r="F343" s="53" t="s">
        <v>59</v>
      </c>
      <c r="G343" s="54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50"/>
      <c r="AC343" s="51"/>
      <c r="AD343" s="71">
        <f>+AD344</f>
        <v>4700000</v>
      </c>
      <c r="AE343" s="63">
        <f>(AD343/AD$13)*100</f>
        <v>3.5619567033173698E-2</v>
      </c>
      <c r="AF343" s="116"/>
      <c r="AG343" s="190"/>
      <c r="AH343" s="188"/>
      <c r="AI343" s="188"/>
      <c r="AJ343" s="189"/>
      <c r="AK343" s="208"/>
      <c r="AL343" s="188"/>
      <c r="AM343" s="183"/>
      <c r="AN343" s="183"/>
      <c r="AO343" s="72"/>
      <c r="AP343" s="183"/>
      <c r="AQ343" s="273"/>
    </row>
    <row r="344" spans="1:43" x14ac:dyDescent="0.25">
      <c r="A344" s="402"/>
      <c r="B344" s="332"/>
      <c r="C344" s="332"/>
      <c r="D344" s="333"/>
      <c r="E344" s="403"/>
      <c r="F344" s="96" t="s">
        <v>37</v>
      </c>
      <c r="G344" s="54" t="s">
        <v>163</v>
      </c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50"/>
      <c r="AC344" s="51"/>
      <c r="AD344" s="71">
        <v>4700000</v>
      </c>
      <c r="AE344" s="63">
        <f>(AD344/AD$13)*100</f>
        <v>3.5619567033173698E-2</v>
      </c>
      <c r="AF344" s="190">
        <v>1500000</v>
      </c>
      <c r="AG344" s="190"/>
      <c r="AH344" s="188"/>
      <c r="AI344" s="188"/>
      <c r="AJ344" s="189"/>
      <c r="AK344" s="188">
        <v>1700000</v>
      </c>
      <c r="AL344" s="188"/>
      <c r="AM344" s="183"/>
      <c r="AN344" s="183"/>
      <c r="AO344" s="183">
        <f>+AD344-AF344-AK344</f>
        <v>1500000</v>
      </c>
      <c r="AP344" s="183"/>
      <c r="AQ344" s="273"/>
    </row>
    <row r="345" spans="1:43" x14ac:dyDescent="0.25">
      <c r="A345" s="402"/>
      <c r="B345" s="332"/>
      <c r="C345" s="332"/>
      <c r="D345" s="333"/>
      <c r="E345" s="403"/>
      <c r="F345" s="53"/>
      <c r="G345" s="54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50"/>
      <c r="AC345" s="51"/>
      <c r="AD345" s="70"/>
      <c r="AE345" s="127"/>
      <c r="AF345" s="116"/>
      <c r="AG345" s="190"/>
      <c r="AH345" s="188"/>
      <c r="AI345" s="188"/>
      <c r="AJ345" s="189"/>
      <c r="AK345" s="188"/>
      <c r="AL345" s="188"/>
      <c r="AM345" s="183"/>
      <c r="AN345" s="183"/>
      <c r="AO345" s="183"/>
      <c r="AP345" s="183"/>
      <c r="AQ345" s="273"/>
    </row>
    <row r="346" spans="1:43" x14ac:dyDescent="0.25">
      <c r="A346" s="402"/>
      <c r="B346" s="332"/>
      <c r="C346" s="332"/>
      <c r="D346" s="333"/>
      <c r="E346" s="403"/>
      <c r="F346" s="53" t="s">
        <v>164</v>
      </c>
      <c r="G346" s="54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50"/>
      <c r="AC346" s="51"/>
      <c r="AD346" s="71">
        <f>+AD347</f>
        <v>1000000</v>
      </c>
      <c r="AE346" s="63">
        <f>(AD346/AD$13)*100</f>
        <v>7.5786312836539776E-3</v>
      </c>
      <c r="AF346" s="116"/>
      <c r="AG346" s="190"/>
      <c r="AH346" s="188"/>
      <c r="AI346" s="188"/>
      <c r="AJ346" s="189"/>
      <c r="AK346" s="188"/>
      <c r="AL346" s="188"/>
      <c r="AM346" s="183"/>
      <c r="AN346" s="183"/>
      <c r="AO346" s="183"/>
      <c r="AP346" s="183"/>
      <c r="AQ346" s="273"/>
    </row>
    <row r="347" spans="1:43" x14ac:dyDescent="0.25">
      <c r="A347" s="402"/>
      <c r="B347" s="332"/>
      <c r="C347" s="332"/>
      <c r="D347" s="333"/>
      <c r="E347" s="403"/>
      <c r="F347" s="96" t="s">
        <v>37</v>
      </c>
      <c r="G347" s="54" t="s">
        <v>165</v>
      </c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50"/>
      <c r="AC347" s="51"/>
      <c r="AD347" s="71">
        <v>1000000</v>
      </c>
      <c r="AE347" s="63">
        <f>(AD347/AD$13)*100</f>
        <v>7.5786312836539776E-3</v>
      </c>
      <c r="AF347" s="116"/>
      <c r="AG347" s="190"/>
      <c r="AH347" s="188"/>
      <c r="AI347" s="188">
        <f>+AD347/2</f>
        <v>500000</v>
      </c>
      <c r="AJ347" s="189"/>
      <c r="AK347" s="188"/>
      <c r="AL347" s="188"/>
      <c r="AM347" s="183"/>
      <c r="AN347" s="183">
        <f>+AI347</f>
        <v>500000</v>
      </c>
      <c r="AO347" s="183"/>
      <c r="AP347" s="183"/>
      <c r="AQ347" s="273"/>
    </row>
    <row r="348" spans="1:43" x14ac:dyDescent="0.25">
      <c r="A348" s="402"/>
      <c r="B348" s="332"/>
      <c r="C348" s="332"/>
      <c r="D348" s="333"/>
      <c r="E348" s="403"/>
      <c r="F348" s="53"/>
      <c r="G348" s="54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50"/>
      <c r="AC348" s="51"/>
      <c r="AD348" s="70"/>
      <c r="AE348" s="127"/>
      <c r="AF348" s="116"/>
      <c r="AG348" s="190"/>
      <c r="AH348" s="188"/>
      <c r="AI348" s="188"/>
      <c r="AJ348" s="189"/>
      <c r="AK348" s="188"/>
      <c r="AL348" s="188"/>
      <c r="AM348" s="183"/>
      <c r="AN348" s="183"/>
      <c r="AO348" s="183"/>
      <c r="AP348" s="183"/>
      <c r="AQ348" s="273"/>
    </row>
    <row r="349" spans="1:43" x14ac:dyDescent="0.25">
      <c r="A349" s="402"/>
      <c r="B349" s="332"/>
      <c r="C349" s="332"/>
      <c r="D349" s="333"/>
      <c r="E349" s="403"/>
      <c r="F349" s="53" t="s">
        <v>16</v>
      </c>
      <c r="G349" s="54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50"/>
      <c r="AC349" s="51"/>
      <c r="AD349" s="71">
        <f>SUM(AD350:AD351)</f>
        <v>950000</v>
      </c>
      <c r="AE349" s="63">
        <f>(AD349/AD$13)*100</f>
        <v>7.1996997194712798E-3</v>
      </c>
      <c r="AF349" s="116"/>
      <c r="AG349" s="190"/>
      <c r="AH349" s="188"/>
      <c r="AI349" s="188"/>
      <c r="AJ349" s="189"/>
      <c r="AK349" s="188"/>
      <c r="AL349" s="188"/>
      <c r="AM349" s="183"/>
      <c r="AN349" s="183"/>
      <c r="AO349" s="183"/>
      <c r="AP349" s="183"/>
      <c r="AQ349" s="273"/>
    </row>
    <row r="350" spans="1:43" x14ac:dyDescent="0.25">
      <c r="A350" s="402"/>
      <c r="B350" s="332"/>
      <c r="C350" s="332"/>
      <c r="D350" s="333"/>
      <c r="E350" s="403"/>
      <c r="F350" s="96" t="s">
        <v>37</v>
      </c>
      <c r="G350" s="54" t="s">
        <v>166</v>
      </c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50"/>
      <c r="AC350" s="51"/>
      <c r="AD350" s="71">
        <v>750000</v>
      </c>
      <c r="AE350" s="63">
        <f>(AD350/AD$13)*100</f>
        <v>5.6839734627404832E-3</v>
      </c>
      <c r="AF350" s="116"/>
      <c r="AG350" s="190"/>
      <c r="AH350" s="188"/>
      <c r="AI350" s="188"/>
      <c r="AJ350" s="189"/>
      <c r="AK350" s="188"/>
      <c r="AL350" s="188">
        <f>+AD350</f>
        <v>750000</v>
      </c>
      <c r="AM350" s="183"/>
      <c r="AN350" s="183"/>
      <c r="AO350" s="183"/>
      <c r="AP350" s="183"/>
      <c r="AQ350" s="273"/>
    </row>
    <row r="351" spans="1:43" x14ac:dyDescent="0.25">
      <c r="A351" s="402"/>
      <c r="B351" s="332"/>
      <c r="C351" s="332"/>
      <c r="D351" s="333"/>
      <c r="E351" s="403"/>
      <c r="F351" s="312" t="s">
        <v>37</v>
      </c>
      <c r="G351" s="313" t="s">
        <v>265</v>
      </c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  <c r="AA351" s="314"/>
      <c r="AB351" s="315"/>
      <c r="AC351" s="316"/>
      <c r="AD351" s="317">
        <v>200000</v>
      </c>
      <c r="AE351" s="63">
        <f>(AD351/AD$13)*100</f>
        <v>1.5157262567307955E-3</v>
      </c>
      <c r="AF351" s="202"/>
      <c r="AG351" s="190"/>
      <c r="AH351" s="188"/>
      <c r="AI351" s="188"/>
      <c r="AJ351" s="189"/>
      <c r="AK351" s="188"/>
      <c r="AL351" s="188"/>
      <c r="AM351" s="183">
        <f>+AD351</f>
        <v>200000</v>
      </c>
      <c r="AN351" s="183"/>
      <c r="AO351" s="183"/>
      <c r="AP351" s="183"/>
      <c r="AQ351" s="273"/>
    </row>
    <row r="352" spans="1:43" x14ac:dyDescent="0.25">
      <c r="A352" s="402"/>
      <c r="B352" s="332"/>
      <c r="C352" s="332"/>
      <c r="D352" s="333"/>
      <c r="E352" s="403"/>
      <c r="F352" s="53"/>
      <c r="G352" s="54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50"/>
      <c r="AC352" s="51"/>
      <c r="AD352" s="70"/>
      <c r="AE352" s="127"/>
      <c r="AF352" s="116"/>
      <c r="AG352" s="190"/>
      <c r="AH352" s="188"/>
      <c r="AI352" s="188"/>
      <c r="AJ352" s="189"/>
      <c r="AK352" s="188"/>
      <c r="AL352" s="188"/>
      <c r="AM352" s="183"/>
      <c r="AN352" s="183"/>
      <c r="AO352" s="183"/>
      <c r="AP352" s="183"/>
      <c r="AQ352" s="273"/>
    </row>
    <row r="353" spans="1:43" x14ac:dyDescent="0.25">
      <c r="A353" s="402"/>
      <c r="B353" s="332"/>
      <c r="C353" s="332"/>
      <c r="D353" s="333"/>
      <c r="E353" s="403"/>
      <c r="F353" s="53" t="s">
        <v>133</v>
      </c>
      <c r="G353" s="54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50"/>
      <c r="AC353" s="51"/>
      <c r="AD353" s="71">
        <f>+AD354</f>
        <v>10720000</v>
      </c>
      <c r="AE353" s="63">
        <f>(AD353/AD$13)*100</f>
        <v>8.1242927360770642E-2</v>
      </c>
      <c r="AF353" s="116"/>
      <c r="AG353" s="190"/>
      <c r="AH353" s="188"/>
      <c r="AI353" s="188"/>
      <c r="AJ353" s="189"/>
      <c r="AK353" s="188"/>
      <c r="AL353" s="188"/>
      <c r="AM353" s="183"/>
      <c r="AN353" s="183"/>
      <c r="AO353" s="183"/>
      <c r="AP353" s="183"/>
      <c r="AQ353" s="273"/>
    </row>
    <row r="354" spans="1:43" x14ac:dyDescent="0.25">
      <c r="A354" s="402"/>
      <c r="B354" s="332"/>
      <c r="C354" s="332"/>
      <c r="D354" s="333"/>
      <c r="E354" s="403"/>
      <c r="F354" s="96" t="s">
        <v>37</v>
      </c>
      <c r="G354" s="54" t="s">
        <v>167</v>
      </c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50"/>
      <c r="AC354" s="51"/>
      <c r="AD354" s="71">
        <v>10720000</v>
      </c>
      <c r="AE354" s="63">
        <f>(AD354/AD$13)*100</f>
        <v>8.1242927360770642E-2</v>
      </c>
      <c r="AF354" s="116"/>
      <c r="AG354" s="190">
        <v>2500000</v>
      </c>
      <c r="AH354" s="188"/>
      <c r="AI354" s="188">
        <f>+AG354</f>
        <v>2500000</v>
      </c>
      <c r="AJ354" s="189"/>
      <c r="AK354" s="188">
        <f>+AI354</f>
        <v>2500000</v>
      </c>
      <c r="AL354" s="188"/>
      <c r="AM354" s="183">
        <f>+AD354-AG354-AI354-AK354</f>
        <v>3220000</v>
      </c>
      <c r="AN354" s="183"/>
      <c r="AO354" s="183"/>
      <c r="AP354" s="183"/>
      <c r="AQ354" s="273"/>
    </row>
    <row r="355" spans="1:43" x14ac:dyDescent="0.25">
      <c r="A355" s="402"/>
      <c r="B355" s="332"/>
      <c r="C355" s="332"/>
      <c r="D355" s="333"/>
      <c r="E355" s="403"/>
      <c r="F355" s="53"/>
      <c r="G355" s="54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50"/>
      <c r="AC355" s="51"/>
      <c r="AD355" s="70"/>
      <c r="AE355" s="127"/>
      <c r="AF355" s="116"/>
      <c r="AG355" s="190"/>
      <c r="AH355" s="188"/>
      <c r="AI355" s="188"/>
      <c r="AJ355" s="189"/>
      <c r="AK355" s="188"/>
      <c r="AL355" s="188"/>
      <c r="AM355" s="183"/>
      <c r="AN355" s="183"/>
      <c r="AO355" s="183"/>
      <c r="AP355" s="183"/>
      <c r="AQ355" s="273"/>
    </row>
    <row r="356" spans="1:43" x14ac:dyDescent="0.25">
      <c r="A356" s="402"/>
      <c r="B356" s="332"/>
      <c r="C356" s="332"/>
      <c r="D356" s="333"/>
      <c r="E356" s="403"/>
      <c r="F356" s="53" t="s">
        <v>168</v>
      </c>
      <c r="G356" s="54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50"/>
      <c r="AC356" s="51"/>
      <c r="AD356" s="71">
        <f>SUM(AD357:AD358)</f>
        <v>250000000</v>
      </c>
      <c r="AE356" s="63">
        <f>(AD356/AD$13)*100</f>
        <v>1.8946578209134943</v>
      </c>
      <c r="AF356" s="116"/>
      <c r="AG356" s="190"/>
      <c r="AH356" s="188"/>
      <c r="AI356" s="188"/>
      <c r="AJ356" s="189"/>
      <c r="AK356" s="188"/>
      <c r="AL356" s="188"/>
      <c r="AM356" s="183"/>
      <c r="AN356" s="183"/>
      <c r="AO356" s="183"/>
      <c r="AP356" s="183"/>
      <c r="AQ356" s="273"/>
    </row>
    <row r="357" spans="1:43" x14ac:dyDescent="0.25">
      <c r="A357" s="402"/>
      <c r="B357" s="332"/>
      <c r="C357" s="332"/>
      <c r="D357" s="333"/>
      <c r="E357" s="403"/>
      <c r="F357" s="96" t="s">
        <v>37</v>
      </c>
      <c r="G357" s="54" t="s">
        <v>169</v>
      </c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50"/>
      <c r="AC357" s="51"/>
      <c r="AD357" s="71">
        <v>200000000</v>
      </c>
      <c r="AE357" s="63">
        <f>(AD357/AD$13)*100</f>
        <v>1.5157262567307956</v>
      </c>
      <c r="AF357" s="116"/>
      <c r="AG357" s="190"/>
      <c r="AH357" s="188">
        <f>0.3*AD357</f>
        <v>60000000</v>
      </c>
      <c r="AI357" s="189">
        <f>0.5*AD357-(0.5*AH357)</f>
        <v>70000000</v>
      </c>
      <c r="AJ357" s="188">
        <f>+AI357</f>
        <v>70000000</v>
      </c>
      <c r="AK357" s="188"/>
      <c r="AL357" s="188"/>
      <c r="AM357" s="183"/>
      <c r="AN357" s="183"/>
      <c r="AO357" s="183"/>
      <c r="AP357" s="183"/>
      <c r="AQ357" s="273"/>
    </row>
    <row r="358" spans="1:43" x14ac:dyDescent="0.25">
      <c r="A358" s="402"/>
      <c r="B358" s="332"/>
      <c r="C358" s="332"/>
      <c r="D358" s="333"/>
      <c r="E358" s="403"/>
      <c r="F358" s="96" t="s">
        <v>37</v>
      </c>
      <c r="G358" s="965" t="s">
        <v>170</v>
      </c>
      <c r="H358" s="965"/>
      <c r="I358" s="965"/>
      <c r="J358" s="965"/>
      <c r="K358" s="965"/>
      <c r="L358" s="965"/>
      <c r="M358" s="965"/>
      <c r="N358" s="965"/>
      <c r="O358" s="965"/>
      <c r="P358" s="965"/>
      <c r="Q358" s="965"/>
      <c r="R358" s="965"/>
      <c r="S358" s="965"/>
      <c r="T358" s="965"/>
      <c r="U358" s="965"/>
      <c r="V358" s="965"/>
      <c r="W358" s="965"/>
      <c r="X358" s="965"/>
      <c r="Y358" s="965"/>
      <c r="Z358" s="965"/>
      <c r="AA358" s="965"/>
      <c r="AB358" s="965"/>
      <c r="AC358" s="51"/>
      <c r="AD358" s="71">
        <v>50000000</v>
      </c>
      <c r="AE358" s="63">
        <f>(AD358/AD$13)*100</f>
        <v>0.37893156418269891</v>
      </c>
      <c r="AF358" s="116"/>
      <c r="AG358" s="190"/>
      <c r="AH358" s="188"/>
      <c r="AI358" s="188"/>
      <c r="AJ358" s="189"/>
      <c r="AK358" s="188">
        <f>0.3*AD358</f>
        <v>15000000</v>
      </c>
      <c r="AL358" s="183"/>
      <c r="AM358" s="183">
        <f>0.7*AD358</f>
        <v>35000000</v>
      </c>
      <c r="AN358" s="72"/>
      <c r="AO358" s="183"/>
      <c r="AP358" s="183"/>
      <c r="AQ358" s="273"/>
    </row>
    <row r="359" spans="1:43" ht="12.75" customHeight="1" thickBot="1" x14ac:dyDescent="0.3">
      <c r="A359" s="402"/>
      <c r="B359" s="332"/>
      <c r="C359" s="332"/>
      <c r="D359" s="333"/>
      <c r="E359" s="403"/>
      <c r="F359" s="53"/>
      <c r="G359" s="966"/>
      <c r="H359" s="966"/>
      <c r="I359" s="966"/>
      <c r="J359" s="966"/>
      <c r="K359" s="966"/>
      <c r="L359" s="966"/>
      <c r="M359" s="966"/>
      <c r="N359" s="966"/>
      <c r="O359" s="966"/>
      <c r="P359" s="966"/>
      <c r="Q359" s="966"/>
      <c r="R359" s="966"/>
      <c r="S359" s="966"/>
      <c r="T359" s="966"/>
      <c r="U359" s="966"/>
      <c r="V359" s="966"/>
      <c r="W359" s="966"/>
      <c r="X359" s="966"/>
      <c r="Y359" s="966"/>
      <c r="Z359" s="966"/>
      <c r="AA359" s="966"/>
      <c r="AB359" s="966"/>
      <c r="AC359" s="51"/>
      <c r="AD359" s="70"/>
      <c r="AE359" s="127"/>
      <c r="AF359" s="116"/>
      <c r="AG359" s="190"/>
      <c r="AH359" s="188"/>
      <c r="AI359" s="188"/>
      <c r="AJ359" s="189"/>
      <c r="AK359" s="189"/>
      <c r="AL359" s="188"/>
      <c r="AM359" s="183"/>
      <c r="AN359" s="183"/>
      <c r="AO359" s="183"/>
      <c r="AP359" s="183"/>
      <c r="AQ359" s="273"/>
    </row>
    <row r="360" spans="1:43" ht="13.8" thickTop="1" x14ac:dyDescent="0.25">
      <c r="A360" s="407"/>
      <c r="B360" s="408"/>
      <c r="C360" s="408"/>
      <c r="D360" s="408"/>
      <c r="E360" s="409"/>
      <c r="F360" s="242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7"/>
      <c r="S360" s="237"/>
      <c r="T360" s="237"/>
      <c r="U360" s="237"/>
      <c r="V360" s="237"/>
      <c r="W360" s="237"/>
      <c r="X360" s="237"/>
      <c r="Y360" s="237"/>
      <c r="Z360" s="237"/>
      <c r="AA360" s="237"/>
      <c r="AB360" s="238"/>
      <c r="AC360" s="239"/>
      <c r="AD360" s="257">
        <f>SUM(AF360:AQ360)</f>
        <v>2002706000</v>
      </c>
      <c r="AE360" s="240"/>
      <c r="AF360" s="241">
        <f>SUM(AF326:AF359)</f>
        <v>1500000</v>
      </c>
      <c r="AG360" s="241">
        <f t="shared" ref="AG360:AQ360" si="35">SUM(AG326:AG359)</f>
        <v>2500000</v>
      </c>
      <c r="AH360" s="241">
        <f t="shared" si="35"/>
        <v>60000000</v>
      </c>
      <c r="AI360" s="241">
        <f t="shared" si="35"/>
        <v>74626000</v>
      </c>
      <c r="AJ360" s="241">
        <f t="shared" si="35"/>
        <v>71350000</v>
      </c>
      <c r="AK360" s="241">
        <f t="shared" si="35"/>
        <v>538250000</v>
      </c>
      <c r="AL360" s="241">
        <f t="shared" si="35"/>
        <v>605900000</v>
      </c>
      <c r="AM360" s="241">
        <f t="shared" si="35"/>
        <v>646580000</v>
      </c>
      <c r="AN360" s="241">
        <f t="shared" si="35"/>
        <v>500000</v>
      </c>
      <c r="AO360" s="241">
        <f t="shared" si="35"/>
        <v>1500000</v>
      </c>
      <c r="AP360" s="241">
        <f t="shared" si="35"/>
        <v>0</v>
      </c>
      <c r="AQ360" s="278">
        <f t="shared" si="35"/>
        <v>0</v>
      </c>
    </row>
    <row r="361" spans="1:43" x14ac:dyDescent="0.25">
      <c r="A361" s="405"/>
      <c r="B361" s="336"/>
      <c r="C361" s="336"/>
      <c r="D361" s="336"/>
      <c r="E361" s="406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220"/>
      <c r="AC361" s="221"/>
      <c r="AD361" s="444" t="s">
        <v>225</v>
      </c>
      <c r="AE361" s="172"/>
      <c r="AF361" s="967">
        <f>+AF360+AG360+AH360</f>
        <v>64000000</v>
      </c>
      <c r="AG361" s="968"/>
      <c r="AH361" s="445"/>
      <c r="AI361" s="969">
        <f>+AI360+AJ360+AK360</f>
        <v>684226000</v>
      </c>
      <c r="AJ361" s="970"/>
      <c r="AK361" s="446"/>
      <c r="AL361" s="971">
        <f>+AL360+AM360+AN360</f>
        <v>1252980000</v>
      </c>
      <c r="AM361" s="972"/>
      <c r="AN361" s="447"/>
      <c r="AO361" s="973">
        <f>+AO360+AP360+AQ360</f>
        <v>1500000</v>
      </c>
      <c r="AP361" s="974"/>
      <c r="AQ361" s="448"/>
    </row>
    <row r="362" spans="1:43" x14ac:dyDescent="0.25">
      <c r="A362" s="449"/>
      <c r="B362" s="450"/>
      <c r="C362" s="450"/>
      <c r="D362" s="450"/>
      <c r="E362" s="451"/>
      <c r="F362" s="341"/>
      <c r="G362" s="341"/>
      <c r="H362" s="341"/>
      <c r="I362" s="341"/>
      <c r="J362" s="341"/>
      <c r="K362" s="341"/>
      <c r="L362" s="341"/>
      <c r="M362" s="341"/>
      <c r="N362" s="341"/>
      <c r="O362" s="341"/>
      <c r="P362" s="341"/>
      <c r="Q362" s="341"/>
      <c r="R362" s="341"/>
      <c r="S362" s="341"/>
      <c r="T362" s="341"/>
      <c r="U362" s="341"/>
      <c r="V362" s="341"/>
      <c r="W362" s="341"/>
      <c r="X362" s="341"/>
      <c r="Y362" s="341"/>
      <c r="Z362" s="341"/>
      <c r="AA362" s="341"/>
      <c r="AB362" s="452"/>
      <c r="AC362" s="453"/>
      <c r="AD362" s="454" t="s">
        <v>324</v>
      </c>
      <c r="AE362" s="455"/>
      <c r="AF362" s="456">
        <f>+AF360+AF321+AF214+AF182+AF133+AF85</f>
        <v>13522500</v>
      </c>
      <c r="AG362" s="456">
        <f t="shared" ref="AG362:AQ362" si="36">+AG360+AG321+AG214+AG182+AG133+AG85</f>
        <v>281871447.22222221</v>
      </c>
      <c r="AH362" s="456">
        <f t="shared" si="36"/>
        <v>2683706022.2222223</v>
      </c>
      <c r="AI362" s="456">
        <f t="shared" si="36"/>
        <v>1325397622.2222223</v>
      </c>
      <c r="AJ362" s="456">
        <f t="shared" si="36"/>
        <v>4106523822.2222223</v>
      </c>
      <c r="AK362" s="456">
        <f t="shared" si="36"/>
        <v>2157229522.2222223</v>
      </c>
      <c r="AL362" s="456">
        <f t="shared" si="36"/>
        <v>1116400947.2222223</v>
      </c>
      <c r="AM362" s="456">
        <f t="shared" si="36"/>
        <v>1088922622.2222223</v>
      </c>
      <c r="AN362" s="456">
        <f t="shared" si="36"/>
        <v>239589122.22222221</v>
      </c>
      <c r="AO362" s="456">
        <f t="shared" si="36"/>
        <v>133478622.22222221</v>
      </c>
      <c r="AP362" s="456">
        <f t="shared" si="36"/>
        <v>45352500</v>
      </c>
      <c r="AQ362" s="457">
        <f t="shared" si="36"/>
        <v>3000000</v>
      </c>
    </row>
    <row r="363" spans="1:43" ht="13.8" thickBot="1" x14ac:dyDescent="0.3">
      <c r="A363" s="458"/>
      <c r="B363" s="459"/>
      <c r="C363" s="459"/>
      <c r="D363" s="459"/>
      <c r="E363" s="459"/>
      <c r="F363" s="460"/>
      <c r="G363" s="460"/>
      <c r="H363" s="460"/>
      <c r="I363" s="460"/>
      <c r="J363" s="460"/>
      <c r="K363" s="460"/>
      <c r="L363" s="460"/>
      <c r="M363" s="460"/>
      <c r="N363" s="460"/>
      <c r="O363" s="460"/>
      <c r="P363" s="460"/>
      <c r="Q363" s="460"/>
      <c r="R363" s="460"/>
      <c r="S363" s="460"/>
      <c r="T363" s="460"/>
      <c r="U363" s="460"/>
      <c r="V363" s="460"/>
      <c r="W363" s="460"/>
      <c r="X363" s="460"/>
      <c r="Y363" s="460"/>
      <c r="Z363" s="460"/>
      <c r="AA363" s="460"/>
      <c r="AB363" s="461"/>
      <c r="AC363" s="461"/>
      <c r="AD363" s="462" t="s">
        <v>325</v>
      </c>
      <c r="AE363" s="463"/>
      <c r="AF363" s="464">
        <f>+AF362</f>
        <v>13522500</v>
      </c>
      <c r="AG363" s="464">
        <f>+AG362+AF363</f>
        <v>295393947.22222221</v>
      </c>
      <c r="AH363" s="464">
        <f t="shared" ref="AH363:AQ363" si="37">+AH362+AG363</f>
        <v>2979099969.4444447</v>
      </c>
      <c r="AI363" s="464">
        <f t="shared" si="37"/>
        <v>4304497591.666667</v>
      </c>
      <c r="AJ363" s="464">
        <f t="shared" si="37"/>
        <v>8411021413.8888893</v>
      </c>
      <c r="AK363" s="464">
        <f t="shared" si="37"/>
        <v>10568250936.111111</v>
      </c>
      <c r="AL363" s="464">
        <f t="shared" si="37"/>
        <v>11684651883.333332</v>
      </c>
      <c r="AM363" s="464">
        <f t="shared" si="37"/>
        <v>12773574505.555553</v>
      </c>
      <c r="AN363" s="464">
        <f t="shared" si="37"/>
        <v>13013163627.777775</v>
      </c>
      <c r="AO363" s="464">
        <f t="shared" si="37"/>
        <v>13146642249.999996</v>
      </c>
      <c r="AP363" s="464">
        <f t="shared" si="37"/>
        <v>13191994749.999996</v>
      </c>
      <c r="AQ363" s="465">
        <f t="shared" si="37"/>
        <v>13194994749.999996</v>
      </c>
    </row>
    <row r="364" spans="1:43" x14ac:dyDescent="0.25">
      <c r="A364" s="285"/>
      <c r="B364" s="418"/>
      <c r="C364" s="418"/>
      <c r="D364" s="418"/>
      <c r="E364" s="418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354"/>
      <c r="AC364" s="354"/>
      <c r="AD364" s="387"/>
      <c r="AE364" s="177"/>
      <c r="AF364" s="388"/>
      <c r="AG364" s="388"/>
      <c r="AH364" s="388"/>
      <c r="AI364" s="388"/>
      <c r="AJ364" s="388"/>
      <c r="AK364" s="388"/>
      <c r="AL364" s="388"/>
      <c r="AM364" s="388"/>
      <c r="AN364" s="388"/>
      <c r="AO364" s="388"/>
      <c r="AP364" s="388"/>
      <c r="AQ364" s="389"/>
    </row>
    <row r="365" spans="1:43" x14ac:dyDescent="0.25">
      <c r="A365" s="285"/>
      <c r="B365" s="418"/>
      <c r="C365" s="418"/>
      <c r="D365" s="176"/>
      <c r="E365" s="176"/>
      <c r="F365" s="52"/>
      <c r="G365" s="52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102"/>
      <c r="AC365" s="102"/>
      <c r="AD365" s="173"/>
      <c r="AE365" s="177"/>
      <c r="AF365" s="204"/>
      <c r="AG365" s="217"/>
      <c r="AH365" s="205"/>
      <c r="AI365" s="205"/>
      <c r="AJ365" s="205"/>
      <c r="AK365" s="205"/>
      <c r="AL365" s="205"/>
      <c r="AM365" s="218"/>
      <c r="AN365" s="975" t="s">
        <v>311</v>
      </c>
      <c r="AO365" s="975"/>
      <c r="AP365" s="975"/>
      <c r="AQ365" s="286"/>
    </row>
    <row r="366" spans="1:43" x14ac:dyDescent="0.25">
      <c r="A366" s="285"/>
      <c r="B366" s="418"/>
      <c r="C366" s="418"/>
      <c r="D366" s="176"/>
      <c r="E366" s="176"/>
      <c r="F366" s="52"/>
      <c r="G366" s="52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102"/>
      <c r="AC366" s="102"/>
      <c r="AD366" s="173"/>
      <c r="AE366" s="177"/>
      <c r="AF366" s="204"/>
      <c r="AG366" s="217"/>
      <c r="AH366" s="205"/>
      <c r="AI366" s="205"/>
      <c r="AJ366" s="205"/>
      <c r="AK366" s="205"/>
      <c r="AL366" s="205"/>
      <c r="AM366" s="218"/>
      <c r="AN366" s="975" t="s">
        <v>226</v>
      </c>
      <c r="AO366" s="975"/>
      <c r="AP366" s="975"/>
      <c r="AQ366" s="286"/>
    </row>
    <row r="367" spans="1:43" x14ac:dyDescent="0.25">
      <c r="A367" s="285"/>
      <c r="B367" s="418"/>
      <c r="C367" s="418"/>
      <c r="D367" s="176"/>
      <c r="E367" s="176"/>
      <c r="F367" s="52"/>
      <c r="G367" s="52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102"/>
      <c r="AC367" s="102"/>
      <c r="AD367" s="173"/>
      <c r="AE367" s="177"/>
      <c r="AF367" s="204"/>
      <c r="AG367" s="217"/>
      <c r="AH367" s="205"/>
      <c r="AI367" s="205"/>
      <c r="AJ367" s="205"/>
      <c r="AK367" s="205"/>
      <c r="AL367" s="205"/>
      <c r="AM367" s="218"/>
      <c r="AN367" s="218"/>
      <c r="AO367" s="218"/>
      <c r="AP367" s="218"/>
      <c r="AQ367" s="286"/>
    </row>
    <row r="368" spans="1:43" x14ac:dyDescent="0.25">
      <c r="A368" s="285"/>
      <c r="B368" s="418"/>
      <c r="C368" s="418"/>
      <c r="D368" s="176"/>
      <c r="E368" s="176"/>
      <c r="F368" s="52"/>
      <c r="G368" s="52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102"/>
      <c r="AC368" s="102"/>
      <c r="AD368" s="173"/>
      <c r="AE368" s="177"/>
      <c r="AF368" s="204"/>
      <c r="AG368" s="217"/>
      <c r="AH368" s="205"/>
      <c r="AI368" s="205"/>
      <c r="AJ368" s="205"/>
      <c r="AK368" s="205"/>
      <c r="AL368" s="205"/>
      <c r="AM368" s="218"/>
      <c r="AN368" s="218"/>
      <c r="AO368" s="218"/>
      <c r="AP368" s="218"/>
      <c r="AQ368" s="286"/>
    </row>
    <row r="369" spans="1:43" x14ac:dyDescent="0.25">
      <c r="A369" s="285"/>
      <c r="B369" s="418"/>
      <c r="C369" s="418"/>
      <c r="D369" s="176"/>
      <c r="E369" s="176"/>
      <c r="F369" s="52"/>
      <c r="G369" s="52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102"/>
      <c r="AC369" s="102"/>
      <c r="AD369" s="173"/>
      <c r="AE369" s="177"/>
      <c r="AF369" s="204"/>
      <c r="AG369" s="217"/>
      <c r="AH369" s="205"/>
      <c r="AI369" s="205"/>
      <c r="AJ369" s="205"/>
      <c r="AK369" s="205"/>
      <c r="AL369" s="205"/>
      <c r="AM369" s="218"/>
      <c r="AN369" s="218"/>
      <c r="AO369" s="218"/>
      <c r="AP369" s="218"/>
      <c r="AQ369" s="286"/>
    </row>
    <row r="370" spans="1:43" x14ac:dyDescent="0.25">
      <c r="A370" s="285"/>
      <c r="B370" s="418"/>
      <c r="C370" s="418"/>
      <c r="D370" s="176"/>
      <c r="E370" s="176"/>
      <c r="F370" s="52"/>
      <c r="G370" s="52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102"/>
      <c r="AC370" s="102"/>
      <c r="AD370" s="173"/>
      <c r="AE370" s="177"/>
      <c r="AF370" s="204"/>
      <c r="AG370" s="217"/>
      <c r="AH370" s="205"/>
      <c r="AI370" s="205"/>
      <c r="AJ370" s="205"/>
      <c r="AK370" s="205"/>
      <c r="AL370" s="205"/>
      <c r="AM370" s="218"/>
      <c r="AN370" s="218"/>
      <c r="AO370" s="218"/>
      <c r="AP370" s="218"/>
      <c r="AQ370" s="286"/>
    </row>
    <row r="371" spans="1:43" x14ac:dyDescent="0.25">
      <c r="A371" s="285"/>
      <c r="B371" s="418"/>
      <c r="C371" s="418"/>
      <c r="D371" s="176"/>
      <c r="E371" s="176"/>
      <c r="F371" s="52"/>
      <c r="G371" s="52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102"/>
      <c r="AC371" s="102"/>
      <c r="AD371" s="173"/>
      <c r="AE371" s="177"/>
      <c r="AF371" s="204"/>
      <c r="AG371" s="217"/>
      <c r="AH371" s="205"/>
      <c r="AI371" s="205"/>
      <c r="AJ371" s="205"/>
      <c r="AK371" s="205"/>
      <c r="AL371" s="205"/>
      <c r="AM371" s="218"/>
      <c r="AN371" s="218"/>
      <c r="AO371" s="218"/>
      <c r="AP371" s="218"/>
      <c r="AQ371" s="286"/>
    </row>
    <row r="372" spans="1:43" ht="15" x14ac:dyDescent="0.4">
      <c r="A372" s="285"/>
      <c r="B372" s="418"/>
      <c r="C372" s="418"/>
      <c r="D372" s="176"/>
      <c r="E372" s="176"/>
      <c r="F372" s="52"/>
      <c r="G372" s="52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102"/>
      <c r="AC372" s="102"/>
      <c r="AD372" s="173"/>
      <c r="AE372" s="177"/>
      <c r="AF372" s="204"/>
      <c r="AG372" s="217"/>
      <c r="AH372" s="205"/>
      <c r="AI372" s="205"/>
      <c r="AJ372" s="205"/>
      <c r="AK372" s="205"/>
      <c r="AL372" s="205"/>
      <c r="AM372" s="218"/>
      <c r="AN372" s="963" t="s">
        <v>227</v>
      </c>
      <c r="AO372" s="963"/>
      <c r="AP372" s="963"/>
      <c r="AQ372" s="286"/>
    </row>
    <row r="373" spans="1:43" ht="13.8" thickBot="1" x14ac:dyDescent="0.3">
      <c r="A373" s="287"/>
      <c r="B373" s="288"/>
      <c r="C373" s="288"/>
      <c r="D373" s="289"/>
      <c r="E373" s="289"/>
      <c r="F373" s="290"/>
      <c r="G373" s="290"/>
      <c r="H373" s="291"/>
      <c r="I373" s="291"/>
      <c r="J373" s="291"/>
      <c r="K373" s="291"/>
      <c r="L373" s="291"/>
      <c r="M373" s="291"/>
      <c r="N373" s="291"/>
      <c r="O373" s="291"/>
      <c r="P373" s="291"/>
      <c r="Q373" s="291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  <c r="AB373" s="292"/>
      <c r="AC373" s="292"/>
      <c r="AD373" s="293"/>
      <c r="AE373" s="294"/>
      <c r="AF373" s="295"/>
      <c r="AG373" s="296"/>
      <c r="AH373" s="297"/>
      <c r="AI373" s="297"/>
      <c r="AJ373" s="297"/>
      <c r="AK373" s="297"/>
      <c r="AL373" s="297"/>
      <c r="AM373" s="298"/>
      <c r="AN373" s="964" t="s">
        <v>228</v>
      </c>
      <c r="AO373" s="964"/>
      <c r="AP373" s="964"/>
      <c r="AQ373" s="299"/>
    </row>
  </sheetData>
  <mergeCells count="46">
    <mergeCell ref="AO183:AP183"/>
    <mergeCell ref="AN366:AP366"/>
    <mergeCell ref="G101:AB102"/>
    <mergeCell ref="F128:AC128"/>
    <mergeCell ref="H324:AC325"/>
    <mergeCell ref="F326:AC326"/>
    <mergeCell ref="AF134:AG134"/>
    <mergeCell ref="AI134:AJ134"/>
    <mergeCell ref="AL134:AM134"/>
    <mergeCell ref="H135:AC136"/>
    <mergeCell ref="AF183:AG183"/>
    <mergeCell ref="AI183:AJ183"/>
    <mergeCell ref="AL183:AM183"/>
    <mergeCell ref="AF215:AG215"/>
    <mergeCell ref="AI215:AJ215"/>
    <mergeCell ref="AL215:AM215"/>
    <mergeCell ref="A1:AQ1"/>
    <mergeCell ref="K6:Q6"/>
    <mergeCell ref="A8:E8"/>
    <mergeCell ref="F8:AC10"/>
    <mergeCell ref="AE8:AE9"/>
    <mergeCell ref="AN86:AO86"/>
    <mergeCell ref="AF8:AQ8"/>
    <mergeCell ref="A9:E9"/>
    <mergeCell ref="A10:E10"/>
    <mergeCell ref="A11:E11"/>
    <mergeCell ref="F11:AC11"/>
    <mergeCell ref="A12:E12"/>
    <mergeCell ref="A13:AC13"/>
    <mergeCell ref="H14:AB15"/>
    <mergeCell ref="AF86:AG86"/>
    <mergeCell ref="AI86:AJ86"/>
    <mergeCell ref="AL86:AM86"/>
    <mergeCell ref="AO215:AP215"/>
    <mergeCell ref="AF322:AG322"/>
    <mergeCell ref="AI322:AJ322"/>
    <mergeCell ref="AL322:AM322"/>
    <mergeCell ref="AO322:AP322"/>
    <mergeCell ref="AN372:AP372"/>
    <mergeCell ref="AN373:AP373"/>
    <mergeCell ref="G358:AB359"/>
    <mergeCell ref="AF361:AG361"/>
    <mergeCell ref="AI361:AJ361"/>
    <mergeCell ref="AL361:AM361"/>
    <mergeCell ref="AO361:AP361"/>
    <mergeCell ref="AN365:AP365"/>
  </mergeCells>
  <printOptions horizontalCentered="1"/>
  <pageMargins left="0.27559055118110237" right="0" top="0.59055118110236227" bottom="0.39370078740157483" header="0.31496062992125984" footer="0.31496062992125984"/>
  <pageSetup paperSize="9" scale="55" orientation="landscape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79"/>
  <sheetViews>
    <sheetView tabSelected="1" view="pageBreakPreview" topLeftCell="B1" zoomScale="87" zoomScaleSheetLayoutView="87" workbookViewId="0">
      <selection activeCell="P41" sqref="P41:P42"/>
    </sheetView>
  </sheetViews>
  <sheetFormatPr defaultRowHeight="13.2" x14ac:dyDescent="0.25"/>
  <cols>
    <col min="2" max="2" width="4.33203125" customWidth="1"/>
    <col min="3" max="3" width="3.88671875" customWidth="1"/>
    <col min="4" max="4" width="57.6640625" customWidth="1"/>
    <col min="5" max="5" width="14.6640625" customWidth="1"/>
    <col min="6" max="19" width="8.88671875" customWidth="1"/>
    <col min="20" max="20" width="15" customWidth="1"/>
    <col min="21" max="21" width="1.33203125" customWidth="1"/>
    <col min="23" max="23" width="16" customWidth="1"/>
    <col min="24" max="24" width="17.109375" customWidth="1"/>
    <col min="25" max="25" width="15.6640625" bestFit="1" customWidth="1"/>
    <col min="26" max="26" width="12.5546875" customWidth="1"/>
  </cols>
  <sheetData>
    <row r="1" spans="2:26" ht="14.25" customHeight="1" x14ac:dyDescent="0.25"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U1" s="72"/>
    </row>
    <row r="2" spans="2:26" ht="21" x14ac:dyDescent="0.4">
      <c r="B2" s="1058" t="s">
        <v>394</v>
      </c>
      <c r="C2" s="1058"/>
      <c r="D2" s="1058"/>
      <c r="E2" s="1058"/>
      <c r="F2" s="1058"/>
      <c r="G2" s="1058"/>
      <c r="H2" s="1058"/>
      <c r="I2" s="1058"/>
      <c r="J2" s="1058"/>
      <c r="K2" s="1058"/>
      <c r="L2" s="1058"/>
      <c r="M2" s="1058"/>
      <c r="N2" s="1058"/>
      <c r="O2" s="1058"/>
      <c r="P2" s="1058"/>
      <c r="Q2" s="1058"/>
      <c r="R2" s="1058"/>
      <c r="S2" s="1058"/>
      <c r="T2" s="696"/>
      <c r="U2" s="72"/>
    </row>
    <row r="3" spans="2:26" ht="17.399999999999999" x14ac:dyDescent="0.3">
      <c r="B3" s="1059" t="s">
        <v>609</v>
      </c>
      <c r="C3" s="1059"/>
      <c r="D3" s="1059"/>
      <c r="E3" s="1059"/>
      <c r="F3" s="1059"/>
      <c r="G3" s="1059"/>
      <c r="H3" s="1059"/>
      <c r="I3" s="1059"/>
      <c r="J3" s="1059"/>
      <c r="K3" s="1059"/>
      <c r="L3" s="1059"/>
      <c r="M3" s="1059"/>
      <c r="N3" s="1059"/>
      <c r="O3" s="1059"/>
      <c r="P3" s="1059"/>
      <c r="Q3" s="1059"/>
      <c r="R3" s="1059"/>
      <c r="S3" s="1059"/>
      <c r="T3" s="697"/>
      <c r="U3" s="72"/>
    </row>
    <row r="4" spans="2:26" ht="19.95" customHeight="1" x14ac:dyDescent="0.25">
      <c r="U4" s="72"/>
    </row>
    <row r="5" spans="2:26" ht="19.95" customHeight="1" x14ac:dyDescent="0.25">
      <c r="U5" s="72"/>
    </row>
    <row r="6" spans="2:26" s="707" customFormat="1" x14ac:dyDescent="0.25">
      <c r="B6" s="1060" t="s">
        <v>330</v>
      </c>
      <c r="C6" s="704"/>
      <c r="D6" s="704"/>
      <c r="E6" s="705"/>
      <c r="F6" s="1065" t="s">
        <v>398</v>
      </c>
      <c r="G6" s="1066"/>
      <c r="H6" s="1066"/>
      <c r="I6" s="1066"/>
      <c r="J6" s="1066"/>
      <c r="K6" s="1066"/>
      <c r="L6" s="1066"/>
      <c r="M6" s="1066"/>
      <c r="N6" s="1066"/>
      <c r="O6" s="1066"/>
      <c r="P6" s="1066"/>
      <c r="Q6" s="1067"/>
      <c r="R6" s="1049" t="s">
        <v>602</v>
      </c>
      <c r="S6" s="1050"/>
      <c r="T6" s="1041" t="s">
        <v>406</v>
      </c>
      <c r="U6" s="706"/>
    </row>
    <row r="7" spans="2:26" s="707" customFormat="1" ht="18" customHeight="1" x14ac:dyDescent="0.25">
      <c r="B7" s="1061"/>
      <c r="C7" s="1056" t="s">
        <v>405</v>
      </c>
      <c r="D7" s="1057"/>
      <c r="E7" s="708" t="s">
        <v>331</v>
      </c>
      <c r="F7" s="1049" t="s">
        <v>402</v>
      </c>
      <c r="G7" s="1050"/>
      <c r="H7" s="1049" t="s">
        <v>396</v>
      </c>
      <c r="I7" s="1050"/>
      <c r="J7" s="1049" t="s">
        <v>401</v>
      </c>
      <c r="K7" s="1050"/>
      <c r="L7" s="1049" t="s">
        <v>400</v>
      </c>
      <c r="M7" s="1050"/>
      <c r="N7" s="1049" t="s">
        <v>397</v>
      </c>
      <c r="O7" s="1050"/>
      <c r="P7" s="1049" t="s">
        <v>399</v>
      </c>
      <c r="Q7" s="1050"/>
      <c r="R7" s="1063"/>
      <c r="S7" s="1064"/>
      <c r="T7" s="1042"/>
      <c r="U7" s="706"/>
    </row>
    <row r="8" spans="2:26" s="707" customFormat="1" ht="18" customHeight="1" x14ac:dyDescent="0.25">
      <c r="B8" s="1061"/>
      <c r="C8" s="1056"/>
      <c r="D8" s="1057"/>
      <c r="E8" s="708" t="s">
        <v>395</v>
      </c>
      <c r="F8" s="1051"/>
      <c r="G8" s="1052"/>
      <c r="H8" s="1051"/>
      <c r="I8" s="1052"/>
      <c r="J8" s="1051"/>
      <c r="K8" s="1052"/>
      <c r="L8" s="1051"/>
      <c r="M8" s="1052"/>
      <c r="N8" s="1051"/>
      <c r="O8" s="1052"/>
      <c r="P8" s="1051"/>
      <c r="Q8" s="1052"/>
      <c r="R8" s="1063"/>
      <c r="S8" s="1064"/>
      <c r="T8" s="1042"/>
      <c r="U8" s="706"/>
    </row>
    <row r="9" spans="2:26" s="707" customFormat="1" ht="15" customHeight="1" x14ac:dyDescent="0.25">
      <c r="B9" s="1062"/>
      <c r="C9" s="706"/>
      <c r="D9" s="709"/>
      <c r="E9" s="710"/>
      <c r="F9" s="711" t="s">
        <v>404</v>
      </c>
      <c r="G9" s="712" t="s">
        <v>403</v>
      </c>
      <c r="H9" s="711" t="s">
        <v>404</v>
      </c>
      <c r="I9" s="712" t="s">
        <v>403</v>
      </c>
      <c r="J9" s="711" t="s">
        <v>404</v>
      </c>
      <c r="K9" s="712" t="s">
        <v>403</v>
      </c>
      <c r="L9" s="711" t="s">
        <v>404</v>
      </c>
      <c r="M9" s="712" t="s">
        <v>403</v>
      </c>
      <c r="N9" s="711" t="s">
        <v>404</v>
      </c>
      <c r="O9" s="712" t="s">
        <v>403</v>
      </c>
      <c r="P9" s="711" t="s">
        <v>404</v>
      </c>
      <c r="Q9" s="712" t="s">
        <v>403</v>
      </c>
      <c r="R9" s="713" t="s">
        <v>404</v>
      </c>
      <c r="S9" s="713" t="s">
        <v>403</v>
      </c>
      <c r="T9" s="1043"/>
      <c r="U9" s="706"/>
    </row>
    <row r="10" spans="2:26" s="703" customFormat="1" ht="21" customHeight="1" thickBot="1" x14ac:dyDescent="0.3">
      <c r="B10" s="714">
        <v>1</v>
      </c>
      <c r="C10" s="1054">
        <v>2</v>
      </c>
      <c r="D10" s="1055"/>
      <c r="E10" s="714">
        <v>3</v>
      </c>
      <c r="F10" s="1054">
        <v>4</v>
      </c>
      <c r="G10" s="1055"/>
      <c r="H10" s="1054">
        <v>5</v>
      </c>
      <c r="I10" s="1055"/>
      <c r="J10" s="1054">
        <v>6</v>
      </c>
      <c r="K10" s="1055"/>
      <c r="L10" s="1054">
        <v>7</v>
      </c>
      <c r="M10" s="1055"/>
      <c r="N10" s="1054">
        <v>8</v>
      </c>
      <c r="O10" s="1055"/>
      <c r="P10" s="1054">
        <v>9</v>
      </c>
      <c r="Q10" s="1055"/>
      <c r="R10" s="1054">
        <v>10</v>
      </c>
      <c r="S10" s="1055"/>
      <c r="T10" s="714">
        <v>11</v>
      </c>
      <c r="U10" s="702"/>
      <c r="W10" s="715"/>
    </row>
    <row r="11" spans="2:26" s="677" customFormat="1" ht="24" customHeight="1" thickTop="1" x14ac:dyDescent="0.25">
      <c r="B11" s="687">
        <v>1</v>
      </c>
      <c r="C11" s="1053" t="s">
        <v>351</v>
      </c>
      <c r="D11" s="1053"/>
      <c r="E11" s="700" t="s">
        <v>333</v>
      </c>
      <c r="F11" s="693">
        <v>30.15</v>
      </c>
      <c r="G11" s="694">
        <v>45</v>
      </c>
      <c r="H11" s="694">
        <v>13.21</v>
      </c>
      <c r="I11" s="694">
        <v>15</v>
      </c>
      <c r="J11" s="692">
        <v>6.3</v>
      </c>
      <c r="K11" s="692">
        <v>10</v>
      </c>
      <c r="L11" s="692">
        <v>11.3</v>
      </c>
      <c r="M11" s="692">
        <v>15</v>
      </c>
      <c r="N11" s="694">
        <v>4</v>
      </c>
      <c r="O11" s="694">
        <v>5</v>
      </c>
      <c r="P11" s="694">
        <v>5.08</v>
      </c>
      <c r="Q11" s="694">
        <v>10</v>
      </c>
      <c r="R11" s="698">
        <f t="shared" ref="R11:S13" si="0">F11+H11+J11+L11+N11+P11</f>
        <v>70.039999999999992</v>
      </c>
      <c r="S11" s="693">
        <f t="shared" si="0"/>
        <v>100</v>
      </c>
      <c r="T11" s="716">
        <v>2015</v>
      </c>
      <c r="U11" s="676"/>
      <c r="W11" s="678">
        <f t="shared" ref="W11:W25" si="1">0.909090909090909*N11*14%</f>
        <v>0.50909090909090904</v>
      </c>
      <c r="X11" s="679">
        <f t="shared" ref="X11:X25" si="2">+N11-W11</f>
        <v>3.4909090909090912</v>
      </c>
      <c r="Y11" s="680">
        <f>15%*X11</f>
        <v>0.52363636363636368</v>
      </c>
      <c r="Z11" s="680">
        <f t="shared" ref="Z11:Z25" si="3">+ROUNDDOWN(Y11,-3)</f>
        <v>0</v>
      </c>
    </row>
    <row r="12" spans="2:26" s="677" customFormat="1" ht="24" customHeight="1" x14ac:dyDescent="0.25">
      <c r="B12" s="688">
        <f t="shared" ref="B12:B17" si="4">+B11+1</f>
        <v>2</v>
      </c>
      <c r="C12" s="1047" t="s">
        <v>352</v>
      </c>
      <c r="D12" s="1047"/>
      <c r="E12" s="689" t="s">
        <v>333</v>
      </c>
      <c r="F12" s="691">
        <f>0.6285*G12</f>
        <v>28.282499999999999</v>
      </c>
      <c r="G12" s="692">
        <v>45</v>
      </c>
      <c r="H12" s="692">
        <f>0.9172*I12</f>
        <v>13.758000000000001</v>
      </c>
      <c r="I12" s="692">
        <v>15</v>
      </c>
      <c r="J12" s="692">
        <f>0.58*K12</f>
        <v>5.8</v>
      </c>
      <c r="K12" s="692">
        <v>10</v>
      </c>
      <c r="L12" s="692">
        <f>0.82*M12</f>
        <v>12.299999999999999</v>
      </c>
      <c r="M12" s="692">
        <v>15</v>
      </c>
      <c r="N12" s="693">
        <f>0.52*O12</f>
        <v>2.6</v>
      </c>
      <c r="O12" s="693">
        <v>5</v>
      </c>
      <c r="P12" s="693">
        <f>5.02</f>
        <v>5.0199999999999996</v>
      </c>
      <c r="Q12" s="693">
        <v>10</v>
      </c>
      <c r="R12" s="698">
        <f t="shared" si="0"/>
        <v>67.760499999999993</v>
      </c>
      <c r="S12" s="693">
        <f t="shared" si="0"/>
        <v>100</v>
      </c>
      <c r="T12" s="717">
        <v>2015</v>
      </c>
      <c r="U12" s="676"/>
      <c r="W12" s="678">
        <f t="shared" si="1"/>
        <v>0.33090909090909087</v>
      </c>
      <c r="X12" s="679">
        <f t="shared" si="2"/>
        <v>2.269090909090909</v>
      </c>
      <c r="Y12" s="680">
        <f t="shared" ref="Y12:Y25" si="5">10%*X12</f>
        <v>0.22690909090909092</v>
      </c>
      <c r="Z12" s="680">
        <f t="shared" si="3"/>
        <v>0</v>
      </c>
    </row>
    <row r="13" spans="2:26" s="677" customFormat="1" ht="24" customHeight="1" x14ac:dyDescent="0.25">
      <c r="B13" s="688">
        <f t="shared" si="4"/>
        <v>3</v>
      </c>
      <c r="C13" s="1047" t="s">
        <v>353</v>
      </c>
      <c r="D13" s="1047"/>
      <c r="E13" s="689" t="s">
        <v>334</v>
      </c>
      <c r="F13" s="693">
        <v>29.46</v>
      </c>
      <c r="G13" s="694">
        <v>45</v>
      </c>
      <c r="H13" s="694">
        <v>5.23</v>
      </c>
      <c r="I13" s="694">
        <v>15</v>
      </c>
      <c r="J13" s="692">
        <v>4.13</v>
      </c>
      <c r="K13" s="692">
        <v>10</v>
      </c>
      <c r="L13" s="692">
        <v>8.5</v>
      </c>
      <c r="M13" s="692">
        <v>15</v>
      </c>
      <c r="N13" s="694">
        <v>4</v>
      </c>
      <c r="O13" s="694">
        <v>5</v>
      </c>
      <c r="P13" s="694">
        <v>4.3499999999999996</v>
      </c>
      <c r="Q13" s="694">
        <v>10</v>
      </c>
      <c r="R13" s="698">
        <f t="shared" si="0"/>
        <v>55.67</v>
      </c>
      <c r="S13" s="693">
        <f t="shared" si="0"/>
        <v>100</v>
      </c>
      <c r="T13" s="717">
        <v>2015</v>
      </c>
      <c r="U13" s="676"/>
      <c r="W13" s="678">
        <f t="shared" si="1"/>
        <v>0.50909090909090904</v>
      </c>
      <c r="X13" s="679">
        <f t="shared" si="2"/>
        <v>3.4909090909090912</v>
      </c>
      <c r="Y13" s="680">
        <f t="shared" si="5"/>
        <v>0.34909090909090912</v>
      </c>
      <c r="Z13" s="680">
        <f t="shared" si="3"/>
        <v>0</v>
      </c>
    </row>
    <row r="14" spans="2:26" s="677" customFormat="1" ht="24" customHeight="1" x14ac:dyDescent="0.25">
      <c r="B14" s="688">
        <f t="shared" si="4"/>
        <v>4</v>
      </c>
      <c r="C14" s="1047" t="s">
        <v>354</v>
      </c>
      <c r="D14" s="1047"/>
      <c r="E14" s="689" t="s">
        <v>335</v>
      </c>
      <c r="F14" s="691">
        <v>23.33</v>
      </c>
      <c r="G14" s="694">
        <v>45</v>
      </c>
      <c r="H14" s="692">
        <v>9.7100000000000009</v>
      </c>
      <c r="I14" s="694">
        <v>15</v>
      </c>
      <c r="J14" s="692">
        <v>3.47</v>
      </c>
      <c r="K14" s="692">
        <v>10</v>
      </c>
      <c r="L14" s="692">
        <v>12.79</v>
      </c>
      <c r="M14" s="692">
        <v>15</v>
      </c>
      <c r="N14" s="694">
        <v>3.2</v>
      </c>
      <c r="O14" s="694">
        <v>5</v>
      </c>
      <c r="P14" s="694">
        <v>6.38</v>
      </c>
      <c r="Q14" s="694">
        <v>10</v>
      </c>
      <c r="R14" s="698">
        <f t="shared" ref="R14:R28" si="6">F14+H14+J14+L14+N14+P14</f>
        <v>58.88</v>
      </c>
      <c r="S14" s="693">
        <f t="shared" ref="S14:S28" si="7">G14+I14+K14+M14+O14+Q14</f>
        <v>100</v>
      </c>
      <c r="T14" s="717">
        <v>2016</v>
      </c>
      <c r="U14" s="676"/>
      <c r="W14" s="678">
        <f t="shared" si="1"/>
        <v>0.40727272727272729</v>
      </c>
      <c r="X14" s="679">
        <f t="shared" si="2"/>
        <v>2.7927272727272729</v>
      </c>
      <c r="Y14" s="680">
        <f t="shared" si="5"/>
        <v>0.27927272727272728</v>
      </c>
      <c r="Z14" s="680">
        <f t="shared" si="3"/>
        <v>0</v>
      </c>
    </row>
    <row r="15" spans="2:26" s="677" customFormat="1" ht="24" customHeight="1" x14ac:dyDescent="0.25">
      <c r="B15" s="688">
        <f t="shared" si="4"/>
        <v>5</v>
      </c>
      <c r="C15" s="1047" t="s">
        <v>365</v>
      </c>
      <c r="D15" s="1047"/>
      <c r="E15" s="689" t="s">
        <v>335</v>
      </c>
      <c r="F15" s="691">
        <v>21.92</v>
      </c>
      <c r="G15" s="694">
        <v>45</v>
      </c>
      <c r="H15" s="692">
        <v>10.130000000000001</v>
      </c>
      <c r="I15" s="694">
        <v>15</v>
      </c>
      <c r="J15" s="692">
        <v>6.25</v>
      </c>
      <c r="K15" s="692">
        <v>10</v>
      </c>
      <c r="L15" s="692">
        <v>13</v>
      </c>
      <c r="M15" s="692">
        <v>15</v>
      </c>
      <c r="N15" s="694">
        <v>3.25</v>
      </c>
      <c r="O15" s="694">
        <v>5</v>
      </c>
      <c r="P15" s="694">
        <v>5.85</v>
      </c>
      <c r="Q15" s="694">
        <v>10</v>
      </c>
      <c r="R15" s="698">
        <f t="shared" si="6"/>
        <v>60.400000000000006</v>
      </c>
      <c r="S15" s="693">
        <f t="shared" si="7"/>
        <v>100</v>
      </c>
      <c r="T15" s="717">
        <v>2015</v>
      </c>
      <c r="U15" s="676"/>
      <c r="W15" s="678">
        <f t="shared" si="1"/>
        <v>0.41363636363636364</v>
      </c>
      <c r="X15" s="679">
        <f t="shared" si="2"/>
        <v>2.8363636363636364</v>
      </c>
      <c r="Y15" s="680">
        <f t="shared" si="5"/>
        <v>0.28363636363636363</v>
      </c>
      <c r="Z15" s="680">
        <f t="shared" si="3"/>
        <v>0</v>
      </c>
    </row>
    <row r="16" spans="2:26" s="677" customFormat="1" ht="24" customHeight="1" x14ac:dyDescent="0.25">
      <c r="B16" s="688">
        <f t="shared" si="4"/>
        <v>6</v>
      </c>
      <c r="C16" s="1047" t="s">
        <v>366</v>
      </c>
      <c r="D16" s="1047"/>
      <c r="E16" s="689" t="s">
        <v>335</v>
      </c>
      <c r="F16" s="691">
        <v>20.72</v>
      </c>
      <c r="G16" s="694">
        <v>45</v>
      </c>
      <c r="H16" s="692">
        <v>10.01</v>
      </c>
      <c r="I16" s="694">
        <v>15</v>
      </c>
      <c r="J16" s="692">
        <v>8.9</v>
      </c>
      <c r="K16" s="692">
        <v>10</v>
      </c>
      <c r="L16" s="692">
        <v>12.93</v>
      </c>
      <c r="M16" s="692">
        <v>15</v>
      </c>
      <c r="N16" s="694">
        <v>4.2</v>
      </c>
      <c r="O16" s="694">
        <v>5</v>
      </c>
      <c r="P16" s="694">
        <v>7.5</v>
      </c>
      <c r="Q16" s="694">
        <v>10</v>
      </c>
      <c r="R16" s="698">
        <f t="shared" si="6"/>
        <v>64.259999999999991</v>
      </c>
      <c r="S16" s="693">
        <f t="shared" si="7"/>
        <v>100</v>
      </c>
      <c r="T16" s="717">
        <v>2015</v>
      </c>
      <c r="U16" s="676"/>
      <c r="W16" s="678">
        <f t="shared" si="1"/>
        <v>0.53454545454545455</v>
      </c>
      <c r="X16" s="679">
        <f t="shared" si="2"/>
        <v>3.6654545454545455</v>
      </c>
      <c r="Y16" s="680">
        <f t="shared" si="5"/>
        <v>0.36654545454545456</v>
      </c>
      <c r="Z16" s="680">
        <f t="shared" si="3"/>
        <v>0</v>
      </c>
    </row>
    <row r="17" spans="2:26" s="677" customFormat="1" ht="24" customHeight="1" x14ac:dyDescent="0.25">
      <c r="B17" s="688">
        <f t="shared" si="4"/>
        <v>7</v>
      </c>
      <c r="C17" s="1048" t="s">
        <v>355</v>
      </c>
      <c r="D17" s="1048"/>
      <c r="E17" s="689" t="s">
        <v>339</v>
      </c>
      <c r="F17" s="691">
        <f>(28.24+33.86+33.54+34.93+34.2)/5</f>
        <v>32.953999999999994</v>
      </c>
      <c r="G17" s="694">
        <v>45</v>
      </c>
      <c r="H17" s="694">
        <f>(10.56+9.2+10.22+9.77+7.36)/5</f>
        <v>9.4220000000000006</v>
      </c>
      <c r="I17" s="694">
        <v>15</v>
      </c>
      <c r="J17" s="694">
        <f>7.25</f>
        <v>7.25</v>
      </c>
      <c r="K17" s="692">
        <v>10</v>
      </c>
      <c r="L17" s="694">
        <v>9</v>
      </c>
      <c r="M17" s="692">
        <v>15</v>
      </c>
      <c r="N17" s="694">
        <v>4.5</v>
      </c>
      <c r="O17" s="694">
        <v>5</v>
      </c>
      <c r="P17" s="694">
        <v>6</v>
      </c>
      <c r="Q17" s="694">
        <v>10</v>
      </c>
      <c r="R17" s="698">
        <f t="shared" si="6"/>
        <v>69.125999999999991</v>
      </c>
      <c r="S17" s="693">
        <f t="shared" si="7"/>
        <v>100</v>
      </c>
      <c r="T17" s="717">
        <v>2015</v>
      </c>
      <c r="U17" s="676"/>
      <c r="W17" s="678">
        <f t="shared" si="1"/>
        <v>0.57272727272727264</v>
      </c>
      <c r="X17" s="679">
        <f t="shared" si="2"/>
        <v>3.9272727272727272</v>
      </c>
      <c r="Y17" s="680">
        <f t="shared" si="5"/>
        <v>0.39272727272727276</v>
      </c>
      <c r="Z17" s="680">
        <f t="shared" si="3"/>
        <v>0</v>
      </c>
    </row>
    <row r="18" spans="2:26" s="677" customFormat="1" ht="24" customHeight="1" x14ac:dyDescent="0.25">
      <c r="B18" s="688">
        <f>+B17+1</f>
        <v>8</v>
      </c>
      <c r="C18" s="1047" t="s">
        <v>356</v>
      </c>
      <c r="D18" s="1047"/>
      <c r="E18" s="689" t="s">
        <v>336</v>
      </c>
      <c r="F18" s="691">
        <v>34.19</v>
      </c>
      <c r="G18" s="694">
        <v>45</v>
      </c>
      <c r="H18" s="692">
        <v>10.52</v>
      </c>
      <c r="I18" s="694">
        <v>15</v>
      </c>
      <c r="J18" s="692">
        <v>1.35</v>
      </c>
      <c r="K18" s="692">
        <v>10</v>
      </c>
      <c r="L18" s="692">
        <v>9.5</v>
      </c>
      <c r="M18" s="692">
        <v>15</v>
      </c>
      <c r="N18" s="694">
        <v>2.0499999999999998</v>
      </c>
      <c r="O18" s="694">
        <v>5</v>
      </c>
      <c r="P18" s="694">
        <v>4.95</v>
      </c>
      <c r="Q18" s="694">
        <v>10</v>
      </c>
      <c r="R18" s="698">
        <f t="shared" si="6"/>
        <v>62.559999999999995</v>
      </c>
      <c r="S18" s="693">
        <f t="shared" si="7"/>
        <v>100</v>
      </c>
      <c r="T18" s="717">
        <v>2015</v>
      </c>
      <c r="U18" s="676"/>
      <c r="W18" s="678">
        <f t="shared" si="1"/>
        <v>0.26090909090909087</v>
      </c>
      <c r="X18" s="679">
        <f t="shared" si="2"/>
        <v>1.7890909090909091</v>
      </c>
      <c r="Y18" s="680">
        <f t="shared" si="5"/>
        <v>0.17890909090909091</v>
      </c>
      <c r="Z18" s="680">
        <f t="shared" si="3"/>
        <v>0</v>
      </c>
    </row>
    <row r="19" spans="2:26" s="677" customFormat="1" ht="24" customHeight="1" x14ac:dyDescent="0.25">
      <c r="B19" s="688">
        <f t="shared" ref="B19:B26" si="8">+B18+1</f>
        <v>9</v>
      </c>
      <c r="C19" s="1047" t="s">
        <v>367</v>
      </c>
      <c r="D19" s="1047"/>
      <c r="E19" s="689" t="s">
        <v>336</v>
      </c>
      <c r="F19" s="691">
        <v>23</v>
      </c>
      <c r="G19" s="694">
        <v>45</v>
      </c>
      <c r="H19" s="692">
        <v>10.3</v>
      </c>
      <c r="I19" s="694">
        <v>15</v>
      </c>
      <c r="J19" s="692">
        <v>5.7</v>
      </c>
      <c r="K19" s="692">
        <v>10</v>
      </c>
      <c r="L19" s="692">
        <v>10.3</v>
      </c>
      <c r="M19" s="692">
        <v>15</v>
      </c>
      <c r="N19" s="694">
        <v>1.7</v>
      </c>
      <c r="O19" s="694">
        <v>5</v>
      </c>
      <c r="P19" s="694">
        <v>3.9</v>
      </c>
      <c r="Q19" s="694">
        <v>10</v>
      </c>
      <c r="R19" s="698">
        <f t="shared" si="6"/>
        <v>54.9</v>
      </c>
      <c r="S19" s="693">
        <f t="shared" si="7"/>
        <v>100</v>
      </c>
      <c r="T19" s="717">
        <v>2015</v>
      </c>
      <c r="U19" s="676"/>
      <c r="W19" s="678">
        <f t="shared" si="1"/>
        <v>0.21636363636363634</v>
      </c>
      <c r="X19" s="679">
        <f t="shared" si="2"/>
        <v>1.4836363636363636</v>
      </c>
      <c r="Y19" s="680">
        <f t="shared" si="5"/>
        <v>0.14836363636363636</v>
      </c>
      <c r="Z19" s="680">
        <f t="shared" si="3"/>
        <v>0</v>
      </c>
    </row>
    <row r="20" spans="2:26" s="677" customFormat="1" ht="24" customHeight="1" x14ac:dyDescent="0.25">
      <c r="B20" s="688">
        <f t="shared" si="8"/>
        <v>10</v>
      </c>
      <c r="C20" s="1047" t="s">
        <v>357</v>
      </c>
      <c r="D20" s="1047"/>
      <c r="E20" s="689" t="s">
        <v>336</v>
      </c>
      <c r="F20" s="691">
        <v>35.57</v>
      </c>
      <c r="G20" s="694">
        <v>45</v>
      </c>
      <c r="H20" s="692">
        <v>10.39</v>
      </c>
      <c r="I20" s="694">
        <v>15</v>
      </c>
      <c r="J20" s="692">
        <v>0.75</v>
      </c>
      <c r="K20" s="692">
        <v>10</v>
      </c>
      <c r="L20" s="692">
        <v>9.5</v>
      </c>
      <c r="M20" s="692">
        <v>15</v>
      </c>
      <c r="N20" s="694">
        <v>3.5</v>
      </c>
      <c r="O20" s="694">
        <v>5</v>
      </c>
      <c r="P20" s="694">
        <v>7.45</v>
      </c>
      <c r="Q20" s="694">
        <v>10</v>
      </c>
      <c r="R20" s="698">
        <f t="shared" si="6"/>
        <v>67.16</v>
      </c>
      <c r="S20" s="693">
        <f t="shared" si="7"/>
        <v>100</v>
      </c>
      <c r="T20" s="717">
        <v>2015</v>
      </c>
      <c r="U20" s="676"/>
      <c r="W20" s="678">
        <f t="shared" si="1"/>
        <v>0.44545454545454544</v>
      </c>
      <c r="X20" s="679">
        <f t="shared" si="2"/>
        <v>3.0545454545454547</v>
      </c>
      <c r="Y20" s="680">
        <f t="shared" si="5"/>
        <v>0.30545454545454548</v>
      </c>
      <c r="Z20" s="680">
        <f t="shared" si="3"/>
        <v>0</v>
      </c>
    </row>
    <row r="21" spans="2:26" s="677" customFormat="1" ht="24" customHeight="1" x14ac:dyDescent="0.25">
      <c r="B21" s="688">
        <f t="shared" si="8"/>
        <v>11</v>
      </c>
      <c r="C21" s="1047" t="s">
        <v>383</v>
      </c>
      <c r="D21" s="1047"/>
      <c r="E21" s="689" t="s">
        <v>337</v>
      </c>
      <c r="F21" s="693">
        <v>22.96</v>
      </c>
      <c r="G21" s="694">
        <v>45</v>
      </c>
      <c r="H21" s="694">
        <v>9.7200000000000006</v>
      </c>
      <c r="I21" s="694">
        <v>15</v>
      </c>
      <c r="J21" s="692">
        <v>6.15</v>
      </c>
      <c r="K21" s="692">
        <v>10</v>
      </c>
      <c r="L21" s="692">
        <v>10</v>
      </c>
      <c r="M21" s="692">
        <v>15</v>
      </c>
      <c r="N21" s="694">
        <v>3.5</v>
      </c>
      <c r="O21" s="694">
        <v>5</v>
      </c>
      <c r="P21" s="694">
        <v>7.95</v>
      </c>
      <c r="Q21" s="694">
        <v>10</v>
      </c>
      <c r="R21" s="698">
        <f t="shared" si="6"/>
        <v>60.28</v>
      </c>
      <c r="S21" s="693">
        <f t="shared" si="7"/>
        <v>100</v>
      </c>
      <c r="T21" s="717">
        <v>2015</v>
      </c>
      <c r="U21" s="676"/>
      <c r="W21" s="678">
        <f t="shared" si="1"/>
        <v>0.44545454545454544</v>
      </c>
      <c r="X21" s="679">
        <f t="shared" si="2"/>
        <v>3.0545454545454547</v>
      </c>
      <c r="Y21" s="680">
        <f t="shared" si="5"/>
        <v>0.30545454545454548</v>
      </c>
      <c r="Z21" s="680">
        <f t="shared" si="3"/>
        <v>0</v>
      </c>
    </row>
    <row r="22" spans="2:26" s="677" customFormat="1" ht="24" customHeight="1" x14ac:dyDescent="0.25">
      <c r="B22" s="688">
        <f t="shared" si="8"/>
        <v>12</v>
      </c>
      <c r="C22" s="1047" t="s">
        <v>368</v>
      </c>
      <c r="D22" s="1047"/>
      <c r="E22" s="689" t="s">
        <v>337</v>
      </c>
      <c r="F22" s="691">
        <v>28.25</v>
      </c>
      <c r="G22" s="694">
        <v>45</v>
      </c>
      <c r="H22" s="692">
        <v>9.27</v>
      </c>
      <c r="I22" s="694">
        <v>15</v>
      </c>
      <c r="J22" s="692">
        <v>5.63</v>
      </c>
      <c r="K22" s="692">
        <v>10</v>
      </c>
      <c r="L22" s="692">
        <v>11</v>
      </c>
      <c r="M22" s="692">
        <v>15</v>
      </c>
      <c r="N22" s="694">
        <v>2</v>
      </c>
      <c r="O22" s="694">
        <v>5</v>
      </c>
      <c r="P22" s="694">
        <v>3.95</v>
      </c>
      <c r="Q22" s="694">
        <v>10</v>
      </c>
      <c r="R22" s="698">
        <f t="shared" si="6"/>
        <v>60.1</v>
      </c>
      <c r="S22" s="693">
        <f t="shared" si="7"/>
        <v>100</v>
      </c>
      <c r="T22" s="717">
        <v>2015</v>
      </c>
      <c r="U22" s="676"/>
      <c r="W22" s="678">
        <f t="shared" si="1"/>
        <v>0.25454545454545452</v>
      </c>
      <c r="X22" s="679">
        <f t="shared" si="2"/>
        <v>1.7454545454545456</v>
      </c>
      <c r="Y22" s="680">
        <f t="shared" si="5"/>
        <v>0.17454545454545456</v>
      </c>
      <c r="Z22" s="680">
        <f t="shared" si="3"/>
        <v>0</v>
      </c>
    </row>
    <row r="23" spans="2:26" s="677" customFormat="1" ht="24" customHeight="1" x14ac:dyDescent="0.25">
      <c r="B23" s="688">
        <f t="shared" si="8"/>
        <v>13</v>
      </c>
      <c r="C23" s="1047" t="s">
        <v>384</v>
      </c>
      <c r="D23" s="1047"/>
      <c r="E23" s="689" t="s">
        <v>338</v>
      </c>
      <c r="F23" s="691">
        <v>31.92</v>
      </c>
      <c r="G23" s="694">
        <v>45</v>
      </c>
      <c r="H23" s="692">
        <v>8.7899999999999991</v>
      </c>
      <c r="I23" s="694">
        <v>15</v>
      </c>
      <c r="J23" s="692">
        <v>6.5</v>
      </c>
      <c r="K23" s="692">
        <v>10</v>
      </c>
      <c r="L23" s="692">
        <v>9.1300000000000008</v>
      </c>
      <c r="M23" s="692">
        <v>15</v>
      </c>
      <c r="N23" s="694">
        <v>2.19</v>
      </c>
      <c r="O23" s="694">
        <v>5</v>
      </c>
      <c r="P23" s="694">
        <v>4.5</v>
      </c>
      <c r="Q23" s="694">
        <v>10</v>
      </c>
      <c r="R23" s="698">
        <f t="shared" si="6"/>
        <v>63.03</v>
      </c>
      <c r="S23" s="693">
        <f t="shared" si="7"/>
        <v>100</v>
      </c>
      <c r="T23" s="717">
        <v>2015</v>
      </c>
      <c r="U23" s="676"/>
      <c r="W23" s="678">
        <f t="shared" si="1"/>
        <v>0.27872727272727271</v>
      </c>
      <c r="X23" s="679">
        <f t="shared" si="2"/>
        <v>1.9112727272727272</v>
      </c>
      <c r="Y23" s="680">
        <f t="shared" si="5"/>
        <v>0.19112727272727273</v>
      </c>
      <c r="Z23" s="680">
        <f t="shared" si="3"/>
        <v>0</v>
      </c>
    </row>
    <row r="24" spans="2:26" s="677" customFormat="1" ht="24" customHeight="1" x14ac:dyDescent="0.25">
      <c r="B24" s="688">
        <f t="shared" si="8"/>
        <v>14</v>
      </c>
      <c r="C24" s="1047" t="s">
        <v>385</v>
      </c>
      <c r="D24" s="1047"/>
      <c r="E24" s="689" t="s">
        <v>607</v>
      </c>
      <c r="F24" s="691">
        <v>20.72</v>
      </c>
      <c r="G24" s="694">
        <v>45</v>
      </c>
      <c r="H24" s="692">
        <v>8</v>
      </c>
      <c r="I24" s="694">
        <v>15</v>
      </c>
      <c r="J24" s="692">
        <v>5.18</v>
      </c>
      <c r="K24" s="692">
        <v>10</v>
      </c>
      <c r="L24" s="692">
        <v>12.93</v>
      </c>
      <c r="M24" s="692">
        <v>15</v>
      </c>
      <c r="N24" s="694">
        <v>3.25</v>
      </c>
      <c r="O24" s="694">
        <v>5</v>
      </c>
      <c r="P24" s="694">
        <v>3.9</v>
      </c>
      <c r="Q24" s="694">
        <v>10</v>
      </c>
      <c r="R24" s="698">
        <f t="shared" si="6"/>
        <v>53.98</v>
      </c>
      <c r="S24" s="693">
        <f t="shared" si="7"/>
        <v>100</v>
      </c>
      <c r="T24" s="717">
        <v>2016</v>
      </c>
      <c r="U24" s="676"/>
      <c r="W24" s="678">
        <f t="shared" si="1"/>
        <v>0.41363636363636364</v>
      </c>
      <c r="X24" s="679">
        <f t="shared" si="2"/>
        <v>2.8363636363636364</v>
      </c>
      <c r="Y24" s="680">
        <f t="shared" si="5"/>
        <v>0.28363636363636363</v>
      </c>
      <c r="Z24" s="680">
        <f t="shared" si="3"/>
        <v>0</v>
      </c>
    </row>
    <row r="25" spans="2:26" s="677" customFormat="1" ht="24" customHeight="1" x14ac:dyDescent="0.25">
      <c r="B25" s="688">
        <f t="shared" si="8"/>
        <v>15</v>
      </c>
      <c r="C25" s="1047" t="s">
        <v>387</v>
      </c>
      <c r="D25" s="1047"/>
      <c r="E25" s="689" t="s">
        <v>611</v>
      </c>
      <c r="F25" s="691">
        <v>32.953999999999994</v>
      </c>
      <c r="G25" s="694">
        <v>45</v>
      </c>
      <c r="H25" s="692">
        <v>9.7100000000000009</v>
      </c>
      <c r="I25" s="694">
        <v>15</v>
      </c>
      <c r="J25" s="692">
        <v>4.13</v>
      </c>
      <c r="K25" s="692">
        <v>10</v>
      </c>
      <c r="L25" s="692">
        <v>9.1</v>
      </c>
      <c r="M25" s="692">
        <v>15</v>
      </c>
      <c r="N25" s="694">
        <v>4.21</v>
      </c>
      <c r="O25" s="694">
        <v>5</v>
      </c>
      <c r="P25" s="694">
        <v>7.45</v>
      </c>
      <c r="Q25" s="694">
        <v>10</v>
      </c>
      <c r="R25" s="698">
        <f t="shared" si="6"/>
        <v>67.554000000000002</v>
      </c>
      <c r="S25" s="693">
        <f t="shared" si="7"/>
        <v>100</v>
      </c>
      <c r="T25" s="717">
        <v>2016</v>
      </c>
      <c r="U25" s="676"/>
      <c r="W25" s="678">
        <f t="shared" si="1"/>
        <v>0.53581818181818175</v>
      </c>
      <c r="X25" s="679">
        <f t="shared" si="2"/>
        <v>3.6741818181818182</v>
      </c>
      <c r="Y25" s="680">
        <f t="shared" si="5"/>
        <v>0.36741818181818187</v>
      </c>
      <c r="Z25" s="680">
        <f t="shared" si="3"/>
        <v>0</v>
      </c>
    </row>
    <row r="26" spans="2:26" s="677" customFormat="1" ht="24" customHeight="1" x14ac:dyDescent="0.25">
      <c r="B26" s="688">
        <f t="shared" si="8"/>
        <v>16</v>
      </c>
      <c r="C26" s="1047" t="s">
        <v>393</v>
      </c>
      <c r="D26" s="1047"/>
      <c r="E26" s="689" t="s">
        <v>389</v>
      </c>
      <c r="F26" s="691">
        <v>24.19</v>
      </c>
      <c r="G26" s="694">
        <v>45</v>
      </c>
      <c r="H26" s="692">
        <v>9.27</v>
      </c>
      <c r="I26" s="694">
        <v>15</v>
      </c>
      <c r="J26" s="692">
        <v>3.41</v>
      </c>
      <c r="K26" s="692">
        <v>10</v>
      </c>
      <c r="L26" s="692">
        <v>9.15</v>
      </c>
      <c r="M26" s="692">
        <v>15</v>
      </c>
      <c r="N26" s="695">
        <v>4.1500000000000004</v>
      </c>
      <c r="O26" s="694">
        <v>5</v>
      </c>
      <c r="P26" s="695">
        <v>7.91</v>
      </c>
      <c r="Q26" s="694">
        <v>10</v>
      </c>
      <c r="R26" s="698">
        <f t="shared" si="6"/>
        <v>58.08</v>
      </c>
      <c r="S26" s="693">
        <f t="shared" si="7"/>
        <v>100</v>
      </c>
      <c r="T26" s="717">
        <v>2016</v>
      </c>
      <c r="U26" s="676"/>
    </row>
    <row r="27" spans="2:26" s="677" customFormat="1" ht="24" customHeight="1" x14ac:dyDescent="0.25">
      <c r="B27" s="688">
        <v>17</v>
      </c>
      <c r="C27" s="1047" t="s">
        <v>390</v>
      </c>
      <c r="D27" s="1047"/>
      <c r="E27" s="689" t="s">
        <v>391</v>
      </c>
      <c r="F27" s="691">
        <v>23</v>
      </c>
      <c r="G27" s="694">
        <v>45</v>
      </c>
      <c r="H27" s="692">
        <v>8.19</v>
      </c>
      <c r="I27" s="694">
        <v>15</v>
      </c>
      <c r="J27" s="692">
        <v>6.25</v>
      </c>
      <c r="K27" s="692">
        <v>10</v>
      </c>
      <c r="L27" s="692">
        <v>10.130000000000001</v>
      </c>
      <c r="M27" s="692">
        <v>15</v>
      </c>
      <c r="N27" s="694">
        <v>2.0499999999999998</v>
      </c>
      <c r="O27" s="694">
        <v>5</v>
      </c>
      <c r="P27" s="694">
        <v>3.95</v>
      </c>
      <c r="Q27" s="694">
        <v>10</v>
      </c>
      <c r="R27" s="698">
        <f t="shared" si="6"/>
        <v>53.57</v>
      </c>
      <c r="S27" s="693">
        <f t="shared" si="7"/>
        <v>100</v>
      </c>
      <c r="T27" s="717">
        <v>2016</v>
      </c>
      <c r="U27" s="676"/>
    </row>
    <row r="28" spans="2:26" s="677" customFormat="1" ht="24" customHeight="1" x14ac:dyDescent="0.25">
      <c r="B28" s="688">
        <f>+B27+1</f>
        <v>18</v>
      </c>
      <c r="C28" s="1047" t="s">
        <v>392</v>
      </c>
      <c r="D28" s="1047"/>
      <c r="E28" s="689" t="s">
        <v>391</v>
      </c>
      <c r="F28" s="691">
        <v>30.57</v>
      </c>
      <c r="G28" s="694">
        <v>45</v>
      </c>
      <c r="H28" s="692">
        <v>7.11</v>
      </c>
      <c r="I28" s="694">
        <v>15</v>
      </c>
      <c r="J28" s="692">
        <v>8.19</v>
      </c>
      <c r="K28" s="692">
        <v>10</v>
      </c>
      <c r="L28" s="692">
        <v>9.51</v>
      </c>
      <c r="M28" s="692">
        <v>15</v>
      </c>
      <c r="N28" s="695">
        <v>1.17</v>
      </c>
      <c r="O28" s="694">
        <v>5</v>
      </c>
      <c r="P28" s="695">
        <v>4.1500000000000004</v>
      </c>
      <c r="Q28" s="694">
        <v>10</v>
      </c>
      <c r="R28" s="698">
        <f t="shared" si="6"/>
        <v>60.699999999999996</v>
      </c>
      <c r="S28" s="693">
        <f t="shared" si="7"/>
        <v>100</v>
      </c>
      <c r="T28" s="717">
        <v>2016</v>
      </c>
      <c r="U28" s="676"/>
    </row>
    <row r="29" spans="2:26" s="677" customFormat="1" ht="24" customHeight="1" x14ac:dyDescent="0.25">
      <c r="B29" s="688">
        <f>+B28+1</f>
        <v>19</v>
      </c>
      <c r="C29" s="1047" t="s">
        <v>604</v>
      </c>
      <c r="D29" s="1047"/>
      <c r="E29" s="689" t="s">
        <v>606</v>
      </c>
      <c r="F29" s="691">
        <v>36.35</v>
      </c>
      <c r="G29" s="694">
        <v>45</v>
      </c>
      <c r="H29" s="692">
        <v>7.79</v>
      </c>
      <c r="I29" s="694">
        <v>15</v>
      </c>
      <c r="J29" s="692">
        <v>1.2</v>
      </c>
      <c r="K29" s="692">
        <v>10</v>
      </c>
      <c r="L29" s="692">
        <v>11</v>
      </c>
      <c r="M29" s="692">
        <v>15</v>
      </c>
      <c r="N29" s="694">
        <v>3.2</v>
      </c>
      <c r="O29" s="694">
        <v>5</v>
      </c>
      <c r="P29" s="694">
        <v>7.95</v>
      </c>
      <c r="Q29" s="694">
        <v>10</v>
      </c>
      <c r="R29" s="698">
        <f>F29+H29+J29+L29+N29+P29</f>
        <v>67.490000000000009</v>
      </c>
      <c r="S29" s="693">
        <f>G29+I29+K29+M29+O29+Q29</f>
        <v>100</v>
      </c>
      <c r="T29" s="717">
        <v>2017</v>
      </c>
      <c r="U29" s="676"/>
    </row>
    <row r="30" spans="2:26" s="677" customFormat="1" ht="24" customHeight="1" x14ac:dyDescent="0.25">
      <c r="B30" s="688">
        <f>+B29+1</f>
        <v>20</v>
      </c>
      <c r="C30" s="1047" t="s">
        <v>605</v>
      </c>
      <c r="D30" s="1047"/>
      <c r="E30" s="689" t="s">
        <v>607</v>
      </c>
      <c r="F30" s="691">
        <v>33.5</v>
      </c>
      <c r="G30" s="694">
        <v>45</v>
      </c>
      <c r="H30" s="692">
        <v>12.4</v>
      </c>
      <c r="I30" s="694">
        <v>15</v>
      </c>
      <c r="J30" s="692">
        <v>7</v>
      </c>
      <c r="K30" s="692">
        <v>10</v>
      </c>
      <c r="L30" s="692">
        <v>14</v>
      </c>
      <c r="M30" s="692">
        <v>15</v>
      </c>
      <c r="N30" s="695">
        <v>3.8</v>
      </c>
      <c r="O30" s="694">
        <v>5</v>
      </c>
      <c r="P30" s="695">
        <v>5.2</v>
      </c>
      <c r="Q30" s="694">
        <v>10</v>
      </c>
      <c r="R30" s="698">
        <f>F30+H30+J30+L30+N30+P30</f>
        <v>75.900000000000006</v>
      </c>
      <c r="S30" s="693">
        <f>G30+I30+K30+M30+O30+Q30</f>
        <v>100</v>
      </c>
      <c r="T30" s="717">
        <v>2017</v>
      </c>
      <c r="U30" s="676"/>
    </row>
    <row r="31" spans="2:26" s="677" customFormat="1" ht="6" customHeight="1" x14ac:dyDescent="0.25">
      <c r="B31" s="681"/>
      <c r="C31" s="683"/>
      <c r="D31" s="683"/>
      <c r="E31" s="701"/>
      <c r="F31" s="684"/>
      <c r="G31" s="690"/>
      <c r="H31" s="682"/>
      <c r="I31" s="682"/>
      <c r="J31" s="682"/>
      <c r="K31" s="682"/>
      <c r="L31" s="682"/>
      <c r="M31" s="682"/>
      <c r="N31" s="685"/>
      <c r="O31" s="685"/>
      <c r="P31" s="685"/>
      <c r="Q31" s="685"/>
      <c r="R31" s="699"/>
      <c r="S31" s="686"/>
      <c r="T31" s="718"/>
      <c r="U31" s="676"/>
    </row>
    <row r="32" spans="2:26" s="677" customFormat="1" ht="18" customHeight="1" x14ac:dyDescent="0.25">
      <c r="B32" s="1044" t="s">
        <v>612</v>
      </c>
      <c r="C32" s="1045"/>
      <c r="D32" s="1046"/>
      <c r="E32" s="701"/>
      <c r="F32" s="684"/>
      <c r="G32" s="690"/>
      <c r="H32" s="682"/>
      <c r="I32" s="682"/>
      <c r="J32" s="682"/>
      <c r="K32" s="682"/>
      <c r="L32" s="682"/>
      <c r="M32" s="682"/>
      <c r="N32" s="685"/>
      <c r="O32" s="685"/>
      <c r="P32" s="685"/>
      <c r="Q32" s="685"/>
      <c r="R32" s="962">
        <f>AVERAGE(R11:R31)</f>
        <v>62.572025000000011</v>
      </c>
      <c r="S32" s="686"/>
      <c r="T32" s="718"/>
      <c r="U32" s="676"/>
    </row>
    <row r="33" spans="2:21" s="510" customFormat="1" ht="28.5" customHeight="1" x14ac:dyDescent="0.3">
      <c r="B33" s="483"/>
      <c r="C33" s="483"/>
      <c r="D33" s="483"/>
      <c r="E33" s="483"/>
      <c r="F33" s="483"/>
      <c r="G33" s="483"/>
      <c r="H33" s="483"/>
      <c r="I33" s="483"/>
      <c r="J33" s="483"/>
      <c r="K33" s="483"/>
      <c r="L33" s="483"/>
      <c r="M33" s="483"/>
      <c r="N33" s="484"/>
      <c r="O33" s="484"/>
      <c r="P33" s="484"/>
      <c r="Q33" s="484"/>
      <c r="R33" s="484"/>
      <c r="S33" s="669"/>
      <c r="T33" s="669"/>
      <c r="U33" s="555"/>
    </row>
    <row r="34" spans="2:21" s="510" customFormat="1" ht="17.25" customHeight="1" x14ac:dyDescent="0.25">
      <c r="B34" s="670"/>
      <c r="C34" s="720" t="s">
        <v>407</v>
      </c>
      <c r="D34" s="670"/>
      <c r="E34" s="671"/>
      <c r="F34" s="671"/>
      <c r="G34" s="671"/>
      <c r="H34" s="671"/>
      <c r="I34" s="671"/>
      <c r="J34" s="671"/>
      <c r="K34" s="671"/>
      <c r="L34" s="671"/>
      <c r="M34" s="671"/>
      <c r="N34" s="673"/>
      <c r="O34" s="673"/>
      <c r="P34" s="721" t="s">
        <v>613</v>
      </c>
      <c r="Q34" s="673"/>
      <c r="R34" s="673"/>
      <c r="S34" s="673"/>
      <c r="T34" s="673"/>
      <c r="U34" s="555"/>
    </row>
    <row r="35" spans="2:21" s="510" customFormat="1" ht="17.25" customHeight="1" x14ac:dyDescent="0.25">
      <c r="B35" s="672"/>
      <c r="C35" s="719">
        <v>1</v>
      </c>
      <c r="D35" s="719" t="s">
        <v>608</v>
      </c>
      <c r="E35" s="671"/>
      <c r="F35" s="671"/>
      <c r="G35" s="671"/>
      <c r="H35" s="671"/>
      <c r="I35" s="671"/>
      <c r="J35" s="671"/>
      <c r="K35" s="671"/>
      <c r="L35" s="671"/>
      <c r="M35" s="671"/>
      <c r="N35" s="673"/>
      <c r="O35" s="673"/>
      <c r="P35" s="721" t="s">
        <v>226</v>
      </c>
      <c r="Q35" s="673"/>
      <c r="R35" s="673"/>
      <c r="S35" s="673"/>
      <c r="T35" s="673"/>
      <c r="U35" s="555"/>
    </row>
    <row r="36" spans="2:21" s="510" customFormat="1" ht="15" customHeight="1" x14ac:dyDescent="0.25">
      <c r="B36" s="672"/>
      <c r="C36" s="719"/>
      <c r="D36" s="719"/>
      <c r="E36" s="672"/>
      <c r="F36" s="672"/>
      <c r="G36" s="672"/>
      <c r="H36" s="672"/>
      <c r="I36" s="672"/>
      <c r="J36" s="672"/>
      <c r="K36" s="672"/>
      <c r="L36" s="672"/>
      <c r="M36" s="672"/>
      <c r="N36" s="673"/>
      <c r="O36" s="673"/>
      <c r="P36" s="721" t="s">
        <v>408</v>
      </c>
      <c r="Q36" s="673"/>
      <c r="R36" s="673"/>
      <c r="S36" s="673"/>
      <c r="T36" s="673"/>
      <c r="U36" s="555"/>
    </row>
    <row r="37" spans="2:21" s="510" customFormat="1" ht="15" customHeight="1" x14ac:dyDescent="0.25">
      <c r="B37" s="672"/>
      <c r="C37" s="719"/>
      <c r="D37" s="719"/>
      <c r="E37" s="672"/>
      <c r="F37" s="672"/>
      <c r="G37" s="672"/>
      <c r="H37" s="672"/>
      <c r="I37" s="672"/>
      <c r="J37" s="672"/>
      <c r="K37" s="672"/>
      <c r="L37" s="672"/>
      <c r="M37" s="672"/>
      <c r="N37" s="673"/>
      <c r="O37" s="673"/>
      <c r="P37" s="721"/>
      <c r="Q37" s="673"/>
      <c r="R37" s="673"/>
      <c r="S37" s="673"/>
      <c r="T37" s="673"/>
      <c r="U37" s="555"/>
    </row>
    <row r="38" spans="2:21" s="510" customFormat="1" ht="15" customHeight="1" x14ac:dyDescent="0.25">
      <c r="B38" s="672"/>
      <c r="C38" s="719"/>
      <c r="D38" s="719"/>
      <c r="E38" s="672"/>
      <c r="F38" s="672"/>
      <c r="G38" s="672"/>
      <c r="H38" s="672"/>
      <c r="I38" s="672"/>
      <c r="J38" s="672"/>
      <c r="K38" s="672"/>
      <c r="L38" s="672"/>
      <c r="M38" s="672"/>
      <c r="N38" s="673"/>
      <c r="O38" s="673"/>
      <c r="P38" s="721"/>
      <c r="Q38" s="673"/>
      <c r="R38" s="673"/>
      <c r="S38" s="673"/>
      <c r="T38" s="673"/>
      <c r="U38" s="555"/>
    </row>
    <row r="39" spans="2:21" s="510" customFormat="1" ht="15" customHeight="1" x14ac:dyDescent="0.25">
      <c r="B39" s="672"/>
      <c r="C39" s="672"/>
      <c r="D39" s="672"/>
      <c r="E39" s="672"/>
      <c r="F39" s="672"/>
      <c r="G39" s="672"/>
      <c r="H39" s="672"/>
      <c r="I39" s="672"/>
      <c r="J39" s="672"/>
      <c r="K39" s="672"/>
      <c r="L39" s="672"/>
      <c r="M39" s="672"/>
      <c r="N39" s="673"/>
      <c r="O39" s="673"/>
      <c r="P39" s="721"/>
      <c r="Q39" s="673"/>
      <c r="R39" s="673"/>
      <c r="S39" s="673"/>
      <c r="T39" s="673"/>
      <c r="U39" s="555"/>
    </row>
    <row r="40" spans="2:21" s="510" customFormat="1" ht="17.25" customHeight="1" x14ac:dyDescent="0.25">
      <c r="B40" s="674"/>
      <c r="C40" s="674"/>
      <c r="D40" s="674"/>
      <c r="E40" s="674"/>
      <c r="F40" s="674"/>
      <c r="G40" s="674"/>
      <c r="H40" s="674"/>
      <c r="I40" s="674"/>
      <c r="J40" s="674"/>
      <c r="K40" s="674"/>
      <c r="L40" s="674"/>
      <c r="M40" s="674"/>
      <c r="N40" s="675"/>
      <c r="O40" s="675"/>
      <c r="P40" s="722"/>
      <c r="Q40" s="675"/>
      <c r="R40" s="675"/>
      <c r="S40" s="675"/>
      <c r="T40" s="675"/>
    </row>
    <row r="41" spans="2:21" s="726" customFormat="1" ht="17.25" customHeight="1" x14ac:dyDescent="0.3">
      <c r="B41" s="674"/>
      <c r="C41" s="674"/>
      <c r="D41" s="674"/>
      <c r="E41" s="674"/>
      <c r="F41" s="674"/>
      <c r="G41" s="674"/>
      <c r="H41" s="674"/>
      <c r="I41" s="674"/>
      <c r="J41" s="674"/>
      <c r="K41" s="674"/>
      <c r="L41" s="674"/>
      <c r="M41" s="674"/>
      <c r="N41" s="675"/>
      <c r="O41" s="675"/>
      <c r="P41" s="727" t="s">
        <v>610</v>
      </c>
      <c r="Q41" s="675"/>
      <c r="R41" s="675"/>
      <c r="S41" s="675"/>
      <c r="T41" s="675"/>
    </row>
    <row r="42" spans="2:21" ht="13.8" x14ac:dyDescent="0.25">
      <c r="B42" s="723"/>
      <c r="C42" s="723"/>
      <c r="D42" s="723"/>
      <c r="E42" s="723"/>
      <c r="F42" s="723"/>
      <c r="G42" s="723"/>
      <c r="H42" s="723"/>
      <c r="I42" s="723"/>
      <c r="J42" s="723"/>
      <c r="K42" s="723"/>
      <c r="L42" s="723"/>
      <c r="M42" s="723"/>
      <c r="N42" s="724"/>
      <c r="O42" s="724"/>
      <c r="P42" s="725" t="s">
        <v>228</v>
      </c>
      <c r="Q42" s="724"/>
      <c r="R42" s="724"/>
      <c r="S42" s="724"/>
      <c r="T42" s="724"/>
    </row>
    <row r="43" spans="2:21" ht="13.8" x14ac:dyDescent="0.3">
      <c r="B43" s="485"/>
      <c r="C43" s="485"/>
      <c r="D43" s="485"/>
      <c r="E43" s="485"/>
      <c r="F43" s="485"/>
      <c r="G43" s="485"/>
      <c r="H43" s="485"/>
      <c r="I43" s="485"/>
      <c r="J43" s="485"/>
      <c r="K43" s="485"/>
      <c r="L43" s="485"/>
      <c r="M43" s="485"/>
      <c r="N43" s="485"/>
      <c r="O43" s="485"/>
      <c r="P43" s="485"/>
      <c r="Q43" s="485"/>
      <c r="R43" s="485"/>
      <c r="S43" s="483"/>
      <c r="T43" s="483"/>
    </row>
    <row r="44" spans="2:21" ht="13.8" x14ac:dyDescent="0.3">
      <c r="B44" s="485"/>
      <c r="C44" s="485"/>
      <c r="D44" s="485"/>
      <c r="E44" s="485"/>
      <c r="F44" s="485"/>
      <c r="G44" s="485"/>
      <c r="H44" s="485"/>
      <c r="I44" s="485"/>
      <c r="J44" s="485"/>
      <c r="K44" s="485"/>
      <c r="L44" s="485"/>
      <c r="M44" s="485"/>
      <c r="N44" s="485"/>
      <c r="O44" s="485"/>
      <c r="P44" s="485"/>
      <c r="Q44" s="485"/>
      <c r="R44" s="485"/>
      <c r="S44" s="483"/>
      <c r="T44" s="483"/>
    </row>
    <row r="45" spans="2:21" ht="13.8" x14ac:dyDescent="0.3">
      <c r="B45" s="485"/>
      <c r="C45" s="485"/>
      <c r="D45" s="485"/>
      <c r="E45" s="485"/>
      <c r="F45" s="485"/>
      <c r="G45" s="485"/>
      <c r="H45" s="485"/>
      <c r="I45" s="485"/>
      <c r="J45" s="485"/>
      <c r="K45" s="485"/>
      <c r="L45" s="485"/>
      <c r="M45" s="485"/>
      <c r="N45" s="485"/>
      <c r="O45" s="485"/>
      <c r="P45" s="485"/>
      <c r="Q45" s="485"/>
      <c r="R45" s="485"/>
      <c r="S45" s="483"/>
      <c r="T45" s="483"/>
    </row>
    <row r="46" spans="2:21" ht="13.8" x14ac:dyDescent="0.3">
      <c r="B46" s="485"/>
      <c r="C46" s="485"/>
      <c r="D46" s="485"/>
      <c r="E46" s="485"/>
      <c r="F46" s="485"/>
      <c r="G46" s="485"/>
      <c r="H46" s="485"/>
      <c r="I46" s="485"/>
      <c r="J46" s="485"/>
      <c r="K46" s="485"/>
      <c r="L46" s="485"/>
      <c r="M46" s="485"/>
      <c r="N46" s="485"/>
      <c r="O46" s="485"/>
      <c r="P46" s="485"/>
      <c r="Q46" s="485"/>
      <c r="R46" s="485"/>
      <c r="S46" s="483"/>
      <c r="T46" s="483"/>
    </row>
    <row r="47" spans="2:21" x14ac:dyDescent="0.25"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</row>
    <row r="48" spans="2:21" x14ac:dyDescent="0.25"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</row>
    <row r="49" spans="2:18" x14ac:dyDescent="0.25"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</row>
    <row r="50" spans="2:18" x14ac:dyDescent="0.25"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</row>
    <row r="51" spans="2:18" x14ac:dyDescent="0.25"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</row>
    <row r="52" spans="2:18" x14ac:dyDescent="0.25"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</row>
    <row r="53" spans="2:18" x14ac:dyDescent="0.25"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</row>
    <row r="54" spans="2:18" x14ac:dyDescent="0.25"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</row>
    <row r="62" spans="2:18" x14ac:dyDescent="0.25">
      <c r="D62" s="155"/>
    </row>
    <row r="63" spans="2:18" x14ac:dyDescent="0.25">
      <c r="D63" s="155"/>
    </row>
    <row r="75" spans="5:5" x14ac:dyDescent="0.25">
      <c r="E75" s="155"/>
    </row>
    <row r="76" spans="5:5" x14ac:dyDescent="0.25">
      <c r="E76" s="155"/>
    </row>
    <row r="77" spans="5:5" x14ac:dyDescent="0.25">
      <c r="E77" s="155"/>
    </row>
    <row r="78" spans="5:5" x14ac:dyDescent="0.25">
      <c r="E78" s="155"/>
    </row>
    <row r="79" spans="5:5" x14ac:dyDescent="0.25">
      <c r="E79" s="155"/>
    </row>
  </sheetData>
  <mergeCells count="42">
    <mergeCell ref="C29:D29"/>
    <mergeCell ref="C30:D30"/>
    <mergeCell ref="B2:S2"/>
    <mergeCell ref="B3:S3"/>
    <mergeCell ref="F10:G10"/>
    <mergeCell ref="H10:I10"/>
    <mergeCell ref="J10:K10"/>
    <mergeCell ref="L10:M10"/>
    <mergeCell ref="N10:O10"/>
    <mergeCell ref="P10:Q10"/>
    <mergeCell ref="R10:S10"/>
    <mergeCell ref="B6:B9"/>
    <mergeCell ref="F7:G8"/>
    <mergeCell ref="R6:S8"/>
    <mergeCell ref="F6:Q6"/>
    <mergeCell ref="P7:Q8"/>
    <mergeCell ref="C22:D22"/>
    <mergeCell ref="L7:M8"/>
    <mergeCell ref="N7:O8"/>
    <mergeCell ref="C11:D11"/>
    <mergeCell ref="C12:D12"/>
    <mergeCell ref="C13:D13"/>
    <mergeCell ref="C10:D10"/>
    <mergeCell ref="J7:K8"/>
    <mergeCell ref="H7:I8"/>
    <mergeCell ref="C7:D8"/>
    <mergeCell ref="T6:T9"/>
    <mergeCell ref="B32:D32"/>
    <mergeCell ref="C14:D14"/>
    <mergeCell ref="C15:D15"/>
    <mergeCell ref="C28:D28"/>
    <mergeCell ref="C27:D27"/>
    <mergeCell ref="C17:D17"/>
    <mergeCell ref="C18:D18"/>
    <mergeCell ref="C16:D16"/>
    <mergeCell ref="C23:D23"/>
    <mergeCell ref="C24:D24"/>
    <mergeCell ref="C25:D25"/>
    <mergeCell ref="C19:D19"/>
    <mergeCell ref="C20:D20"/>
    <mergeCell ref="C26:D26"/>
    <mergeCell ref="C21:D21"/>
  </mergeCells>
  <printOptions horizontalCentered="1"/>
  <pageMargins left="0.19685039370078741" right="0.19685039370078741" top="0.59055118110236227" bottom="0.47244094488188981" header="0.31496062992125984" footer="0.31496062992125984"/>
  <pageSetup paperSize="9" scale="6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194"/>
  <sheetViews>
    <sheetView view="pageBreakPreview" topLeftCell="A49" zoomScale="106" zoomScaleSheetLayoutView="106" workbookViewId="0">
      <selection activeCell="J35" sqref="J35"/>
    </sheetView>
  </sheetViews>
  <sheetFormatPr defaultColWidth="9.109375" defaultRowHeight="14.4" x14ac:dyDescent="0.3"/>
  <cols>
    <col min="1" max="1" width="3.88671875" style="728" customWidth="1"/>
    <col min="2" max="2" width="5.33203125" style="742" customWidth="1"/>
    <col min="3" max="3" width="3.109375" style="728" customWidth="1"/>
    <col min="4" max="4" width="18.88671875" style="728" customWidth="1"/>
    <col min="5" max="5" width="9.109375" style="728"/>
    <col min="6" max="6" width="18.88671875" style="728" customWidth="1"/>
    <col min="7" max="7" width="15.44140625" style="728" customWidth="1"/>
    <col min="8" max="8" width="12.88671875" style="728" customWidth="1"/>
    <col min="9" max="9" width="15" style="728" customWidth="1"/>
    <col min="10" max="10" width="15.5546875" style="917" customWidth="1"/>
    <col min="11" max="11" width="2.6640625" style="728" customWidth="1"/>
    <col min="12" max="12" width="17.88671875" style="728" customWidth="1"/>
    <col min="13" max="13" width="8.33203125" style="728" customWidth="1"/>
    <col min="14" max="14" width="5.44140625" style="728" customWidth="1"/>
    <col min="15" max="15" width="11.44140625" style="728" customWidth="1"/>
    <col min="16" max="16" width="3.109375" style="728" customWidth="1"/>
    <col min="17" max="17" width="30" style="728" customWidth="1"/>
    <col min="18" max="18" width="10.33203125" style="728" customWidth="1"/>
    <col min="19" max="19" width="7.44140625" style="728" customWidth="1"/>
    <col min="20" max="16384" width="9.109375" style="728"/>
  </cols>
  <sheetData>
    <row r="2" spans="2:19" ht="18" x14ac:dyDescent="0.35">
      <c r="B2" s="747" t="s">
        <v>483</v>
      </c>
      <c r="C2" s="740"/>
    </row>
    <row r="3" spans="2:19" ht="18" x14ac:dyDescent="0.35">
      <c r="B3" s="747" t="s">
        <v>482</v>
      </c>
      <c r="C3" s="740"/>
    </row>
    <row r="4" spans="2:19" ht="18" x14ac:dyDescent="0.35">
      <c r="B4" s="747" t="s">
        <v>481</v>
      </c>
      <c r="C4" s="740"/>
    </row>
    <row r="5" spans="2:19" ht="18" x14ac:dyDescent="0.35">
      <c r="B5" s="747" t="s">
        <v>534</v>
      </c>
      <c r="L5" s="895"/>
    </row>
    <row r="7" spans="2:19" s="740" customFormat="1" ht="24" customHeight="1" x14ac:dyDescent="0.3">
      <c r="B7" s="1069" t="s">
        <v>343</v>
      </c>
      <c r="C7" s="1069" t="s">
        <v>480</v>
      </c>
      <c r="D7" s="1069"/>
      <c r="E7" s="750" t="s">
        <v>479</v>
      </c>
      <c r="F7" s="750" t="s">
        <v>478</v>
      </c>
      <c r="G7" s="1069" t="s">
        <v>477</v>
      </c>
      <c r="H7" s="1069"/>
      <c r="I7" s="1069"/>
      <c r="J7" s="912" t="s">
        <v>476</v>
      </c>
      <c r="K7" s="1069" t="s">
        <v>475</v>
      </c>
      <c r="L7" s="1069"/>
      <c r="M7" s="1069"/>
      <c r="N7" s="1069"/>
      <c r="O7" s="1069"/>
      <c r="P7" s="1071" t="s">
        <v>474</v>
      </c>
      <c r="Q7" s="1071"/>
      <c r="R7" s="1070" t="s">
        <v>473</v>
      </c>
      <c r="S7" s="1070"/>
    </row>
    <row r="8" spans="2:19" s="740" customFormat="1" ht="24" customHeight="1" x14ac:dyDescent="0.3">
      <c r="B8" s="1069"/>
      <c r="C8" s="1069"/>
      <c r="D8" s="1069"/>
      <c r="E8" s="750" t="s">
        <v>472</v>
      </c>
      <c r="F8" s="750" t="s">
        <v>471</v>
      </c>
      <c r="G8" s="750" t="s">
        <v>470</v>
      </c>
      <c r="H8" s="750" t="s">
        <v>469</v>
      </c>
      <c r="I8" s="750" t="s">
        <v>468</v>
      </c>
      <c r="J8" s="912" t="s">
        <v>467</v>
      </c>
      <c r="K8" s="1072" t="s">
        <v>474</v>
      </c>
      <c r="L8" s="1073"/>
      <c r="M8" s="1069" t="s">
        <v>466</v>
      </c>
      <c r="N8" s="1069"/>
      <c r="O8" s="750" t="s">
        <v>465</v>
      </c>
      <c r="P8" s="1071"/>
      <c r="Q8" s="1071"/>
      <c r="R8" s="741" t="s">
        <v>464</v>
      </c>
      <c r="S8" s="741" t="s">
        <v>463</v>
      </c>
    </row>
    <row r="9" spans="2:19" s="738" customFormat="1" ht="6" customHeight="1" x14ac:dyDescent="0.3">
      <c r="B9" s="744"/>
      <c r="C9" s="736"/>
      <c r="D9" s="736"/>
      <c r="E9" s="736"/>
      <c r="F9" s="736"/>
      <c r="G9" s="736"/>
      <c r="H9" s="736"/>
      <c r="I9" s="736"/>
      <c r="J9" s="918"/>
      <c r="K9" s="736"/>
      <c r="L9" s="736"/>
      <c r="M9" s="736"/>
      <c r="N9" s="736"/>
      <c r="O9" s="736"/>
      <c r="P9" s="736"/>
      <c r="Q9" s="736"/>
      <c r="R9" s="739"/>
      <c r="S9" s="739"/>
    </row>
    <row r="10" spans="2:19" s="738" customFormat="1" x14ac:dyDescent="0.3">
      <c r="B10" s="751">
        <v>1</v>
      </c>
      <c r="C10" s="869" t="s">
        <v>484</v>
      </c>
      <c r="D10" s="849"/>
      <c r="E10" s="752">
        <v>1678</v>
      </c>
      <c r="F10" s="753" t="s">
        <v>535</v>
      </c>
      <c r="G10" s="753" t="s">
        <v>484</v>
      </c>
      <c r="H10" s="752" t="s">
        <v>487</v>
      </c>
      <c r="I10" s="752" t="s">
        <v>333</v>
      </c>
      <c r="J10" s="919">
        <f>9373176000+17611974000</f>
        <v>26985150000</v>
      </c>
      <c r="K10" s="814"/>
      <c r="L10" s="815" t="s">
        <v>447</v>
      </c>
      <c r="M10" s="848">
        <v>26979</v>
      </c>
      <c r="N10" s="849" t="s">
        <v>413</v>
      </c>
      <c r="O10" s="752" t="s">
        <v>444</v>
      </c>
      <c r="P10" s="736"/>
      <c r="Q10" s="736"/>
      <c r="R10" s="739"/>
      <c r="S10" s="739"/>
    </row>
    <row r="11" spans="2:19" s="738" customFormat="1" x14ac:dyDescent="0.3">
      <c r="B11" s="754"/>
      <c r="C11" s="816"/>
      <c r="D11" s="851"/>
      <c r="E11" s="755"/>
      <c r="F11" s="756" t="s">
        <v>540</v>
      </c>
      <c r="G11" s="756" t="s">
        <v>537</v>
      </c>
      <c r="H11" s="756" t="s">
        <v>538</v>
      </c>
      <c r="I11" s="755"/>
      <c r="J11" s="937">
        <f>J10-J12</f>
        <v>17611974000</v>
      </c>
      <c r="K11" s="818"/>
      <c r="L11" s="908" t="s">
        <v>445</v>
      </c>
      <c r="M11" s="909">
        <v>29</v>
      </c>
      <c r="N11" s="819" t="s">
        <v>439</v>
      </c>
      <c r="O11" s="783" t="s">
        <v>444</v>
      </c>
      <c r="P11" s="736"/>
      <c r="Q11" s="736"/>
      <c r="R11" s="739"/>
      <c r="S11" s="739"/>
    </row>
    <row r="12" spans="2:19" s="738" customFormat="1" x14ac:dyDescent="0.3">
      <c r="B12" s="754"/>
      <c r="C12" s="816"/>
      <c r="D12" s="851"/>
      <c r="E12" s="755"/>
      <c r="F12" s="756" t="s">
        <v>541</v>
      </c>
      <c r="G12" s="756" t="s">
        <v>536</v>
      </c>
      <c r="H12" s="756"/>
      <c r="I12" s="755"/>
      <c r="J12" s="919">
        <v>9373176000</v>
      </c>
      <c r="K12" s="814"/>
      <c r="L12" s="815" t="s">
        <v>442</v>
      </c>
      <c r="M12" s="848">
        <v>1089</v>
      </c>
      <c r="N12" s="849" t="s">
        <v>413</v>
      </c>
      <c r="O12" s="752" t="s">
        <v>438</v>
      </c>
      <c r="P12" s="736"/>
      <c r="Q12" s="736"/>
      <c r="R12" s="739"/>
      <c r="S12" s="739"/>
    </row>
    <row r="13" spans="2:19" s="738" customFormat="1" x14ac:dyDescent="0.3">
      <c r="B13" s="754"/>
      <c r="C13" s="816"/>
      <c r="D13" s="851"/>
      <c r="E13" s="755"/>
      <c r="F13" s="756" t="s">
        <v>542</v>
      </c>
      <c r="G13" s="756" t="s">
        <v>539</v>
      </c>
      <c r="H13" s="755"/>
      <c r="I13" s="755"/>
      <c r="J13" s="920"/>
      <c r="K13" s="816"/>
      <c r="L13" s="817" t="s">
        <v>440</v>
      </c>
      <c r="M13" s="850">
        <v>2</v>
      </c>
      <c r="N13" s="851" t="s">
        <v>439</v>
      </c>
      <c r="O13" s="755" t="s">
        <v>438</v>
      </c>
      <c r="P13" s="736"/>
      <c r="Q13" s="736"/>
      <c r="R13" s="739"/>
      <c r="S13" s="739"/>
    </row>
    <row r="14" spans="2:19" s="738" customFormat="1" x14ac:dyDescent="0.3">
      <c r="B14" s="754"/>
      <c r="C14" s="816"/>
      <c r="D14" s="851"/>
      <c r="E14" s="755"/>
      <c r="F14" s="755"/>
      <c r="G14" s="755"/>
      <c r="H14" s="755"/>
      <c r="I14" s="755"/>
      <c r="J14" s="920"/>
      <c r="K14" s="816"/>
      <c r="L14" s="817" t="s">
        <v>436</v>
      </c>
      <c r="M14" s="850">
        <v>10</v>
      </c>
      <c r="N14" s="851" t="s">
        <v>439</v>
      </c>
      <c r="O14" s="756" t="s">
        <v>423</v>
      </c>
      <c r="P14" s="736"/>
      <c r="Q14" s="736"/>
      <c r="R14" s="739"/>
      <c r="S14" s="739"/>
    </row>
    <row r="15" spans="2:19" s="738" customFormat="1" x14ac:dyDescent="0.3">
      <c r="B15" s="754"/>
      <c r="C15" s="816"/>
      <c r="D15" s="851"/>
      <c r="E15" s="755"/>
      <c r="F15" s="755"/>
      <c r="G15" s="755"/>
      <c r="H15" s="755"/>
      <c r="I15" s="755"/>
      <c r="J15" s="920"/>
      <c r="K15" s="816"/>
      <c r="L15" s="817" t="s">
        <v>434</v>
      </c>
      <c r="M15" s="850">
        <v>29</v>
      </c>
      <c r="N15" s="851" t="s">
        <v>439</v>
      </c>
      <c r="O15" s="777" t="s">
        <v>575</v>
      </c>
      <c r="P15" s="736"/>
      <c r="Q15" s="736"/>
      <c r="R15" s="739"/>
      <c r="S15" s="739"/>
    </row>
    <row r="16" spans="2:19" s="738" customFormat="1" x14ac:dyDescent="0.3">
      <c r="B16" s="782"/>
      <c r="C16" s="818"/>
      <c r="D16" s="819"/>
      <c r="E16" s="783"/>
      <c r="F16" s="783"/>
      <c r="G16" s="783"/>
      <c r="H16" s="783"/>
      <c r="I16" s="783"/>
      <c r="J16" s="921"/>
      <c r="K16" s="818"/>
      <c r="L16" s="819"/>
      <c r="M16" s="818"/>
      <c r="N16" s="819"/>
      <c r="O16" s="783"/>
      <c r="P16" s="736"/>
      <c r="Q16" s="736"/>
      <c r="R16" s="739"/>
      <c r="S16" s="739"/>
    </row>
    <row r="17" spans="2:19" s="738" customFormat="1" x14ac:dyDescent="0.3">
      <c r="B17" s="751">
        <v>2</v>
      </c>
      <c r="C17" s="869" t="s">
        <v>485</v>
      </c>
      <c r="D17" s="849"/>
      <c r="E17" s="752">
        <v>2161</v>
      </c>
      <c r="F17" s="752"/>
      <c r="G17" s="752" t="s">
        <v>486</v>
      </c>
      <c r="H17" s="752" t="s">
        <v>487</v>
      </c>
      <c r="I17" s="752" t="s">
        <v>333</v>
      </c>
      <c r="J17" s="919">
        <f>10019125000+77500000</f>
        <v>10096625000</v>
      </c>
      <c r="K17" s="814"/>
      <c r="L17" s="815" t="s">
        <v>447</v>
      </c>
      <c r="M17" s="848">
        <f>7385</f>
        <v>7385</v>
      </c>
      <c r="N17" s="849" t="s">
        <v>413</v>
      </c>
      <c r="O17" s="752" t="s">
        <v>444</v>
      </c>
      <c r="P17" s="736"/>
      <c r="Q17" s="736"/>
      <c r="R17" s="739"/>
      <c r="S17" s="739"/>
    </row>
    <row r="18" spans="2:19" s="738" customFormat="1" x14ac:dyDescent="0.3">
      <c r="B18" s="754"/>
      <c r="C18" s="816"/>
      <c r="D18" s="851"/>
      <c r="E18" s="755"/>
      <c r="F18" s="755"/>
      <c r="G18" s="755"/>
      <c r="H18" s="755"/>
      <c r="I18" s="755"/>
      <c r="J18" s="937">
        <f>7200375000+29750000</f>
        <v>7230125000</v>
      </c>
      <c r="K18" s="818"/>
      <c r="L18" s="908" t="s">
        <v>445</v>
      </c>
      <c r="M18" s="909">
        <v>7</v>
      </c>
      <c r="N18" s="819" t="s">
        <v>439</v>
      </c>
      <c r="O18" s="783" t="s">
        <v>444</v>
      </c>
      <c r="P18" s="736"/>
      <c r="Q18" s="736"/>
      <c r="R18" s="739"/>
      <c r="S18" s="739"/>
    </row>
    <row r="19" spans="2:19" s="738" customFormat="1" x14ac:dyDescent="0.3">
      <c r="B19" s="754"/>
      <c r="C19" s="816"/>
      <c r="D19" s="851"/>
      <c r="E19" s="755"/>
      <c r="F19" s="755"/>
      <c r="G19" s="755"/>
      <c r="H19" s="755"/>
      <c r="I19" s="755"/>
      <c r="J19" s="919">
        <f>J17-J18</f>
        <v>2866500000</v>
      </c>
      <c r="K19" s="814"/>
      <c r="L19" s="815" t="s">
        <v>442</v>
      </c>
      <c r="M19" s="848">
        <f>4510</f>
        <v>4510</v>
      </c>
      <c r="N19" s="849" t="s">
        <v>413</v>
      </c>
      <c r="O19" s="752" t="s">
        <v>438</v>
      </c>
      <c r="P19" s="736"/>
      <c r="Q19" s="736"/>
      <c r="R19" s="739"/>
      <c r="S19" s="739"/>
    </row>
    <row r="20" spans="2:19" s="738" customFormat="1" x14ac:dyDescent="0.3">
      <c r="B20" s="754"/>
      <c r="C20" s="816"/>
      <c r="D20" s="851"/>
      <c r="E20" s="755"/>
      <c r="F20" s="755"/>
      <c r="G20" s="755"/>
      <c r="H20" s="755"/>
      <c r="I20" s="755"/>
      <c r="J20" s="920"/>
      <c r="K20" s="816"/>
      <c r="L20" s="817" t="s">
        <v>440</v>
      </c>
      <c r="M20" s="850">
        <v>14</v>
      </c>
      <c r="N20" s="851" t="s">
        <v>439</v>
      </c>
      <c r="O20" s="755" t="s">
        <v>438</v>
      </c>
      <c r="P20" s="736"/>
      <c r="Q20" s="736"/>
      <c r="R20" s="739"/>
      <c r="S20" s="739"/>
    </row>
    <row r="21" spans="2:19" s="738" customFormat="1" x14ac:dyDescent="0.3">
      <c r="B21" s="754"/>
      <c r="C21" s="816"/>
      <c r="D21" s="851"/>
      <c r="E21" s="755"/>
      <c r="F21" s="755"/>
      <c r="G21" s="755"/>
      <c r="H21" s="755"/>
      <c r="I21" s="755"/>
      <c r="J21" s="920"/>
      <c r="K21" s="816"/>
      <c r="L21" s="817" t="s">
        <v>436</v>
      </c>
      <c r="M21" s="850">
        <v>6</v>
      </c>
      <c r="N21" s="851" t="s">
        <v>439</v>
      </c>
      <c r="O21" s="756" t="s">
        <v>423</v>
      </c>
      <c r="P21" s="736"/>
      <c r="Q21" s="736"/>
      <c r="R21" s="739"/>
      <c r="S21" s="739"/>
    </row>
    <row r="22" spans="2:19" s="738" customFormat="1" x14ac:dyDescent="0.3">
      <c r="B22" s="754"/>
      <c r="C22" s="816"/>
      <c r="D22" s="851"/>
      <c r="E22" s="755"/>
      <c r="F22" s="755"/>
      <c r="G22" s="755"/>
      <c r="H22" s="755"/>
      <c r="I22" s="755"/>
      <c r="J22" s="920"/>
      <c r="K22" s="816"/>
      <c r="L22" s="817" t="s">
        <v>434</v>
      </c>
      <c r="M22" s="850">
        <v>5</v>
      </c>
      <c r="N22" s="851" t="s">
        <v>439</v>
      </c>
      <c r="O22" s="756" t="s">
        <v>423</v>
      </c>
      <c r="P22" s="736"/>
      <c r="Q22" s="736"/>
      <c r="R22" s="739"/>
      <c r="S22" s="739"/>
    </row>
    <row r="23" spans="2:19" s="738" customFormat="1" x14ac:dyDescent="0.3">
      <c r="B23" s="786"/>
      <c r="C23" s="820"/>
      <c r="D23" s="821"/>
      <c r="E23" s="780"/>
      <c r="F23" s="780"/>
      <c r="G23" s="780"/>
      <c r="H23" s="780"/>
      <c r="I23" s="780"/>
      <c r="J23" s="922"/>
      <c r="K23" s="820"/>
      <c r="L23" s="821"/>
      <c r="M23" s="820"/>
      <c r="N23" s="821"/>
      <c r="O23" s="780"/>
      <c r="P23" s="736"/>
      <c r="Q23" s="736"/>
      <c r="R23" s="739"/>
      <c r="S23" s="739"/>
    </row>
    <row r="24" spans="2:19" s="738" customFormat="1" x14ac:dyDescent="0.3">
      <c r="B24" s="784">
        <v>3</v>
      </c>
      <c r="C24" s="870" t="s">
        <v>462</v>
      </c>
      <c r="D24" s="853"/>
      <c r="E24" s="785">
        <v>2644</v>
      </c>
      <c r="F24" s="785"/>
      <c r="G24" s="785" t="s">
        <v>488</v>
      </c>
      <c r="H24" s="785" t="s">
        <v>489</v>
      </c>
      <c r="I24" s="785" t="s">
        <v>334</v>
      </c>
      <c r="J24" s="923">
        <f>SUM(J25:J26)</f>
        <v>8264250000</v>
      </c>
      <c r="K24" s="822"/>
      <c r="L24" s="823" t="s">
        <v>447</v>
      </c>
      <c r="M24" s="852">
        <v>5805</v>
      </c>
      <c r="N24" s="853" t="s">
        <v>413</v>
      </c>
      <c r="O24" s="785" t="s">
        <v>444</v>
      </c>
      <c r="P24" s="736"/>
      <c r="Q24" s="736"/>
      <c r="R24" s="739"/>
      <c r="S24" s="739"/>
    </row>
    <row r="25" spans="2:19" s="738" customFormat="1" x14ac:dyDescent="0.3">
      <c r="B25" s="754"/>
      <c r="C25" s="816"/>
      <c r="D25" s="851"/>
      <c r="E25" s="755"/>
      <c r="F25" s="755"/>
      <c r="G25" s="755"/>
      <c r="H25" s="755"/>
      <c r="I25" s="755"/>
      <c r="J25" s="937">
        <f>5805*975000</f>
        <v>5659875000</v>
      </c>
      <c r="K25" s="818"/>
      <c r="L25" s="908" t="s">
        <v>445</v>
      </c>
      <c r="M25" s="909">
        <v>16</v>
      </c>
      <c r="N25" s="819" t="s">
        <v>439</v>
      </c>
      <c r="O25" s="783" t="s">
        <v>444</v>
      </c>
      <c r="P25" s="736"/>
      <c r="Q25" s="736"/>
      <c r="R25" s="739"/>
      <c r="S25" s="739"/>
    </row>
    <row r="26" spans="2:19" s="738" customFormat="1" x14ac:dyDescent="0.3">
      <c r="B26" s="754"/>
      <c r="C26" s="816"/>
      <c r="D26" s="851"/>
      <c r="E26" s="755"/>
      <c r="F26" s="755"/>
      <c r="G26" s="755"/>
      <c r="H26" s="755"/>
      <c r="I26" s="755"/>
      <c r="J26" s="919">
        <f>4167*625000</f>
        <v>2604375000</v>
      </c>
      <c r="K26" s="814"/>
      <c r="L26" s="815" t="s">
        <v>442</v>
      </c>
      <c r="M26" s="848">
        <v>4167</v>
      </c>
      <c r="N26" s="849" t="s">
        <v>413</v>
      </c>
      <c r="O26" s="752" t="s">
        <v>438</v>
      </c>
      <c r="P26" s="736"/>
      <c r="Q26" s="736"/>
      <c r="R26" s="739"/>
      <c r="S26" s="739"/>
    </row>
    <row r="27" spans="2:19" s="738" customFormat="1" x14ac:dyDescent="0.3">
      <c r="B27" s="754"/>
      <c r="C27" s="816"/>
      <c r="D27" s="851"/>
      <c r="E27" s="755"/>
      <c r="F27" s="755"/>
      <c r="G27" s="755"/>
      <c r="H27" s="755"/>
      <c r="I27" s="755"/>
      <c r="J27" s="924"/>
      <c r="K27" s="816"/>
      <c r="L27" s="817" t="s">
        <v>440</v>
      </c>
      <c r="M27" s="850">
        <v>10</v>
      </c>
      <c r="N27" s="851" t="s">
        <v>439</v>
      </c>
      <c r="O27" s="755" t="s">
        <v>438</v>
      </c>
      <c r="P27" s="736"/>
      <c r="Q27" s="736"/>
      <c r="R27" s="739"/>
      <c r="S27" s="739"/>
    </row>
    <row r="28" spans="2:19" s="738" customFormat="1" x14ac:dyDescent="0.3">
      <c r="B28" s="754"/>
      <c r="C28" s="816"/>
      <c r="D28" s="851"/>
      <c r="E28" s="755"/>
      <c r="F28" s="755"/>
      <c r="G28" s="755"/>
      <c r="H28" s="755"/>
      <c r="I28" s="755"/>
      <c r="J28" s="920"/>
      <c r="K28" s="816"/>
      <c r="L28" s="817" t="s">
        <v>436</v>
      </c>
      <c r="M28" s="850">
        <v>0</v>
      </c>
      <c r="N28" s="851"/>
      <c r="O28" s="755"/>
      <c r="P28" s="736"/>
      <c r="Q28" s="736"/>
      <c r="R28" s="739"/>
      <c r="S28" s="739"/>
    </row>
    <row r="29" spans="2:19" s="738" customFormat="1" x14ac:dyDescent="0.3">
      <c r="B29" s="754"/>
      <c r="C29" s="816"/>
      <c r="D29" s="851"/>
      <c r="E29" s="755"/>
      <c r="F29" s="755"/>
      <c r="G29" s="755"/>
      <c r="H29" s="755"/>
      <c r="I29" s="755"/>
      <c r="J29" s="920"/>
      <c r="K29" s="816"/>
      <c r="L29" s="817" t="s">
        <v>434</v>
      </c>
      <c r="M29" s="850">
        <v>0</v>
      </c>
      <c r="N29" s="851"/>
      <c r="O29" s="755"/>
      <c r="P29" s="736"/>
      <c r="Q29" s="736"/>
      <c r="R29" s="739"/>
      <c r="S29" s="739"/>
    </row>
    <row r="30" spans="2:19" s="738" customFormat="1" x14ac:dyDescent="0.3">
      <c r="B30" s="782"/>
      <c r="C30" s="818"/>
      <c r="D30" s="819"/>
      <c r="E30" s="783"/>
      <c r="F30" s="783"/>
      <c r="G30" s="783"/>
      <c r="H30" s="783"/>
      <c r="I30" s="783"/>
      <c r="J30" s="921"/>
      <c r="K30" s="818"/>
      <c r="L30" s="819"/>
      <c r="M30" s="818"/>
      <c r="N30" s="819"/>
      <c r="O30" s="783"/>
      <c r="P30" s="736"/>
      <c r="Q30" s="736"/>
      <c r="R30" s="739"/>
      <c r="S30" s="739"/>
    </row>
    <row r="31" spans="2:19" s="738" customFormat="1" x14ac:dyDescent="0.3">
      <c r="B31" s="751">
        <v>4</v>
      </c>
      <c r="C31" s="871" t="s">
        <v>514</v>
      </c>
      <c r="D31" s="849"/>
      <c r="E31" s="752">
        <v>1255</v>
      </c>
      <c r="F31" s="751" t="s">
        <v>519</v>
      </c>
      <c r="G31" s="751" t="s">
        <v>515</v>
      </c>
      <c r="H31" s="751" t="s">
        <v>386</v>
      </c>
      <c r="I31" s="752" t="s">
        <v>334</v>
      </c>
      <c r="J31" s="925">
        <f>SUM(J32:J33)</f>
        <v>4201775000</v>
      </c>
      <c r="K31" s="824"/>
      <c r="L31" s="825" t="s">
        <v>447</v>
      </c>
      <c r="M31" s="854">
        <v>2889</v>
      </c>
      <c r="N31" s="855" t="s">
        <v>413</v>
      </c>
      <c r="O31" s="751" t="s">
        <v>444</v>
      </c>
      <c r="P31" s="736"/>
      <c r="Q31" s="736"/>
      <c r="R31" s="739"/>
      <c r="S31" s="739"/>
    </row>
    <row r="32" spans="2:19" s="738" customFormat="1" x14ac:dyDescent="0.3">
      <c r="B32" s="754"/>
      <c r="C32" s="816"/>
      <c r="D32" s="851"/>
      <c r="E32" s="755"/>
      <c r="F32" s="754" t="s">
        <v>520</v>
      </c>
      <c r="G32" s="754" t="s">
        <v>516</v>
      </c>
      <c r="H32" s="755"/>
      <c r="I32" s="755"/>
      <c r="J32" s="940">
        <f>(M31*975000)+35000000</f>
        <v>2851775000</v>
      </c>
      <c r="K32" s="941"/>
      <c r="L32" s="942" t="s">
        <v>445</v>
      </c>
      <c r="M32" s="943">
        <v>6</v>
      </c>
      <c r="N32" s="944" t="s">
        <v>439</v>
      </c>
      <c r="O32" s="786" t="s">
        <v>444</v>
      </c>
      <c r="P32" s="736"/>
      <c r="Q32" s="736"/>
      <c r="R32" s="739"/>
      <c r="S32" s="739"/>
    </row>
    <row r="33" spans="2:19" s="738" customFormat="1" x14ac:dyDescent="0.3">
      <c r="B33" s="754"/>
      <c r="C33" s="816"/>
      <c r="D33" s="851"/>
      <c r="E33" s="755"/>
      <c r="F33" s="757" t="s">
        <v>521</v>
      </c>
      <c r="G33" s="754" t="s">
        <v>517</v>
      </c>
      <c r="H33" s="755"/>
      <c r="I33" s="755"/>
      <c r="J33" s="938">
        <f>(M33*625000)+65000000</f>
        <v>1350000000</v>
      </c>
      <c r="K33" s="939"/>
      <c r="L33" s="844" t="s">
        <v>442</v>
      </c>
      <c r="M33" s="866">
        <v>2056</v>
      </c>
      <c r="N33" s="867" t="s">
        <v>413</v>
      </c>
      <c r="O33" s="784" t="s">
        <v>438</v>
      </c>
      <c r="P33" s="736"/>
      <c r="Q33" s="736"/>
      <c r="R33" s="739"/>
      <c r="S33" s="739"/>
    </row>
    <row r="34" spans="2:19" s="738" customFormat="1" ht="16.2" x14ac:dyDescent="0.3">
      <c r="B34" s="754"/>
      <c r="C34" s="816"/>
      <c r="D34" s="851"/>
      <c r="E34" s="755"/>
      <c r="F34" s="754" t="s">
        <v>522</v>
      </c>
      <c r="G34" s="754" t="s">
        <v>518</v>
      </c>
      <c r="H34" s="755"/>
      <c r="I34" s="755"/>
      <c r="J34" s="920"/>
      <c r="K34" s="826"/>
      <c r="L34" s="827" t="s">
        <v>440</v>
      </c>
      <c r="M34" s="856">
        <v>10</v>
      </c>
      <c r="N34" s="857" t="s">
        <v>439</v>
      </c>
      <c r="O34" s="754" t="s">
        <v>438</v>
      </c>
      <c r="P34" s="736"/>
      <c r="Q34" s="736"/>
      <c r="R34" s="739"/>
      <c r="S34" s="739"/>
    </row>
    <row r="35" spans="2:19" s="738" customFormat="1" ht="15.6" x14ac:dyDescent="0.3">
      <c r="B35" s="754"/>
      <c r="C35" s="816"/>
      <c r="D35" s="851"/>
      <c r="E35" s="755"/>
      <c r="F35" s="754" t="s">
        <v>523</v>
      </c>
      <c r="G35" s="755"/>
      <c r="H35" s="755"/>
      <c r="I35" s="755"/>
      <c r="J35" s="920"/>
      <c r="K35" s="826"/>
      <c r="L35" s="827" t="s">
        <v>436</v>
      </c>
      <c r="M35" s="856">
        <v>10</v>
      </c>
      <c r="N35" s="857"/>
      <c r="O35" s="754"/>
      <c r="P35" s="736"/>
      <c r="Q35" s="736"/>
      <c r="R35" s="739"/>
      <c r="S35" s="739"/>
    </row>
    <row r="36" spans="2:19" s="738" customFormat="1" x14ac:dyDescent="0.3">
      <c r="B36" s="754"/>
      <c r="C36" s="816"/>
      <c r="D36" s="851"/>
      <c r="E36" s="755"/>
      <c r="F36" s="755"/>
      <c r="G36" s="755"/>
      <c r="H36" s="755"/>
      <c r="I36" s="755"/>
      <c r="J36" s="920"/>
      <c r="K36" s="826"/>
      <c r="L36" s="827" t="s">
        <v>434</v>
      </c>
      <c r="M36" s="856">
        <v>10</v>
      </c>
      <c r="N36" s="857"/>
      <c r="O36" s="754"/>
      <c r="P36" s="736"/>
      <c r="Q36" s="736"/>
      <c r="R36" s="739"/>
      <c r="S36" s="739"/>
    </row>
    <row r="37" spans="2:19" s="738" customFormat="1" x14ac:dyDescent="0.3">
      <c r="B37" s="782"/>
      <c r="C37" s="818"/>
      <c r="D37" s="819"/>
      <c r="E37" s="783"/>
      <c r="F37" s="783"/>
      <c r="G37" s="783"/>
      <c r="H37" s="783"/>
      <c r="I37" s="783"/>
      <c r="J37" s="921"/>
      <c r="K37" s="818"/>
      <c r="L37" s="819"/>
      <c r="M37" s="818"/>
      <c r="N37" s="819"/>
      <c r="O37" s="783"/>
      <c r="P37" s="736"/>
      <c r="Q37" s="736"/>
      <c r="R37" s="739"/>
      <c r="S37" s="739"/>
    </row>
    <row r="38" spans="2:19" s="738" customFormat="1" x14ac:dyDescent="0.3">
      <c r="B38" s="786"/>
      <c r="C38" s="820"/>
      <c r="D38" s="821"/>
      <c r="E38" s="780"/>
      <c r="F38" s="780"/>
      <c r="G38" s="780"/>
      <c r="H38" s="780"/>
      <c r="I38" s="780"/>
      <c r="J38" s="922"/>
      <c r="K38" s="820"/>
      <c r="L38" s="821"/>
      <c r="M38" s="820"/>
      <c r="N38" s="821"/>
      <c r="O38" s="780"/>
      <c r="P38" s="736"/>
      <c r="Q38" s="736"/>
      <c r="R38" s="739"/>
      <c r="S38" s="739"/>
    </row>
    <row r="39" spans="2:19" s="738" customFormat="1" x14ac:dyDescent="0.3">
      <c r="B39" s="784">
        <v>5</v>
      </c>
      <c r="C39" s="872" t="s">
        <v>461</v>
      </c>
      <c r="D39" s="853"/>
      <c r="E39" s="785">
        <v>1014</v>
      </c>
      <c r="F39" s="787" t="s">
        <v>460</v>
      </c>
      <c r="G39" s="787" t="s">
        <v>459</v>
      </c>
      <c r="H39" s="787" t="s">
        <v>458</v>
      </c>
      <c r="I39" s="787" t="s">
        <v>335</v>
      </c>
      <c r="J39" s="926">
        <v>10947121400</v>
      </c>
      <c r="K39" s="822"/>
      <c r="L39" s="828" t="s">
        <v>447</v>
      </c>
      <c r="M39" s="852">
        <f>2759.4+2448.9</f>
        <v>5208.3</v>
      </c>
      <c r="N39" s="858" t="s">
        <v>413</v>
      </c>
      <c r="O39" s="787" t="s">
        <v>444</v>
      </c>
      <c r="P39" s="736"/>
      <c r="Q39" s="736"/>
      <c r="R39" s="739"/>
      <c r="S39" s="739"/>
    </row>
    <row r="40" spans="2:19" s="738" customFormat="1" x14ac:dyDescent="0.3">
      <c r="B40" s="754"/>
      <c r="C40" s="873"/>
      <c r="D40" s="851"/>
      <c r="E40" s="755"/>
      <c r="F40" s="758"/>
      <c r="G40" s="758" t="s">
        <v>457</v>
      </c>
      <c r="H40" s="758" t="s">
        <v>456</v>
      </c>
      <c r="I40" s="758" t="s">
        <v>335</v>
      </c>
      <c r="J40" s="945">
        <f>J39-J41</f>
        <v>9471683900</v>
      </c>
      <c r="K40" s="818"/>
      <c r="L40" s="946" t="s">
        <v>445</v>
      </c>
      <c r="M40" s="909">
        <v>12</v>
      </c>
      <c r="N40" s="947" t="s">
        <v>439</v>
      </c>
      <c r="O40" s="948" t="s">
        <v>444</v>
      </c>
      <c r="P40" s="736"/>
      <c r="Q40" s="736"/>
      <c r="R40" s="739"/>
      <c r="S40" s="739"/>
    </row>
    <row r="41" spans="2:19" s="738" customFormat="1" x14ac:dyDescent="0.3">
      <c r="B41" s="754"/>
      <c r="C41" s="816"/>
      <c r="D41" s="851"/>
      <c r="E41" s="755"/>
      <c r="F41" s="755"/>
      <c r="G41" s="758" t="s">
        <v>455</v>
      </c>
      <c r="H41" s="758" t="s">
        <v>454</v>
      </c>
      <c r="I41" s="758" t="s">
        <v>335</v>
      </c>
      <c r="J41" s="919">
        <f>M41*625000</f>
        <v>1475437500</v>
      </c>
      <c r="K41" s="814"/>
      <c r="L41" s="830" t="s">
        <v>442</v>
      </c>
      <c r="M41" s="848">
        <f>1403.5+957.2</f>
        <v>2360.6999999999998</v>
      </c>
      <c r="N41" s="860" t="s">
        <v>413</v>
      </c>
      <c r="O41" s="792" t="s">
        <v>438</v>
      </c>
      <c r="P41" s="736"/>
      <c r="Q41" s="736"/>
      <c r="R41" s="739"/>
      <c r="S41" s="739"/>
    </row>
    <row r="42" spans="2:19" s="738" customFormat="1" x14ac:dyDescent="0.3">
      <c r="B42" s="754"/>
      <c r="C42" s="816"/>
      <c r="D42" s="851"/>
      <c r="E42" s="755"/>
      <c r="F42" s="755"/>
      <c r="G42" s="758" t="s">
        <v>453</v>
      </c>
      <c r="H42" s="758" t="s">
        <v>452</v>
      </c>
      <c r="I42" s="758" t="s">
        <v>335</v>
      </c>
      <c r="J42" s="920"/>
      <c r="K42" s="816"/>
      <c r="L42" s="829" t="s">
        <v>440</v>
      </c>
      <c r="M42" s="850">
        <v>10</v>
      </c>
      <c r="N42" s="859" t="s">
        <v>439</v>
      </c>
      <c r="O42" s="758" t="s">
        <v>438</v>
      </c>
      <c r="P42" s="736"/>
      <c r="Q42" s="736"/>
      <c r="R42" s="739"/>
      <c r="S42" s="739"/>
    </row>
    <row r="43" spans="2:19" s="738" customFormat="1" x14ac:dyDescent="0.3">
      <c r="B43" s="754"/>
      <c r="C43" s="816"/>
      <c r="D43" s="851"/>
      <c r="E43" s="755"/>
      <c r="F43" s="755"/>
      <c r="G43" s="755"/>
      <c r="H43" s="755"/>
      <c r="I43" s="755"/>
      <c r="J43" s="920"/>
      <c r="K43" s="816"/>
      <c r="L43" s="829" t="s">
        <v>436</v>
      </c>
      <c r="M43" s="850">
        <v>10</v>
      </c>
      <c r="N43" s="859" t="s">
        <v>439</v>
      </c>
      <c r="O43" s="754" t="s">
        <v>507</v>
      </c>
      <c r="P43" s="736"/>
      <c r="Q43" s="736"/>
      <c r="R43" s="739"/>
      <c r="S43" s="739"/>
    </row>
    <row r="44" spans="2:19" s="738" customFormat="1" x14ac:dyDescent="0.3">
      <c r="B44" s="754"/>
      <c r="C44" s="816"/>
      <c r="D44" s="851"/>
      <c r="E44" s="755"/>
      <c r="F44" s="755"/>
      <c r="G44" s="755"/>
      <c r="H44" s="755"/>
      <c r="I44" s="755"/>
      <c r="J44" s="920"/>
      <c r="K44" s="816"/>
      <c r="L44" s="829" t="s">
        <v>434</v>
      </c>
      <c r="M44" s="850">
        <v>10</v>
      </c>
      <c r="N44" s="859" t="s">
        <v>439</v>
      </c>
      <c r="O44" s="754" t="s">
        <v>507</v>
      </c>
      <c r="P44" s="736"/>
      <c r="Q44" s="736"/>
      <c r="R44" s="739"/>
      <c r="S44" s="739"/>
    </row>
    <row r="45" spans="2:19" s="738" customFormat="1" x14ac:dyDescent="0.3">
      <c r="B45" s="782"/>
      <c r="C45" s="818"/>
      <c r="D45" s="819"/>
      <c r="E45" s="783"/>
      <c r="F45" s="783"/>
      <c r="G45" s="783"/>
      <c r="H45" s="783"/>
      <c r="I45" s="783"/>
      <c r="J45" s="921"/>
      <c r="K45" s="818"/>
      <c r="L45" s="819"/>
      <c r="M45" s="818"/>
      <c r="N45" s="819"/>
      <c r="O45" s="783"/>
      <c r="P45" s="736"/>
      <c r="Q45" s="736"/>
      <c r="R45" s="739"/>
      <c r="S45" s="739"/>
    </row>
    <row r="46" spans="2:19" s="738" customFormat="1" x14ac:dyDescent="0.3">
      <c r="B46" s="751">
        <v>6</v>
      </c>
      <c r="C46" s="874" t="s">
        <v>451</v>
      </c>
      <c r="D46" s="849"/>
      <c r="E46" s="752">
        <v>1246</v>
      </c>
      <c r="F46" s="792" t="s">
        <v>450</v>
      </c>
      <c r="G46" s="792" t="s">
        <v>449</v>
      </c>
      <c r="H46" s="792" t="s">
        <v>449</v>
      </c>
      <c r="I46" s="792" t="s">
        <v>335</v>
      </c>
      <c r="J46" s="927">
        <f>17287725000</f>
        <v>17287725000</v>
      </c>
      <c r="K46" s="814"/>
      <c r="L46" s="830" t="s">
        <v>447</v>
      </c>
      <c r="M46" s="848">
        <f>4672+8031</f>
        <v>12703</v>
      </c>
      <c r="N46" s="860" t="s">
        <v>413</v>
      </c>
      <c r="O46" s="792" t="s">
        <v>444</v>
      </c>
      <c r="P46" s="736"/>
      <c r="Q46" s="736"/>
      <c r="R46" s="739"/>
      <c r="S46" s="739"/>
    </row>
    <row r="47" spans="2:19" s="738" customFormat="1" x14ac:dyDescent="0.3">
      <c r="B47" s="754"/>
      <c r="C47" s="816"/>
      <c r="D47" s="851"/>
      <c r="E47" s="755"/>
      <c r="F47" s="755"/>
      <c r="G47" s="755"/>
      <c r="H47" s="755"/>
      <c r="I47" s="755"/>
      <c r="J47" s="949">
        <f>J46-J48</f>
        <v>12500225000</v>
      </c>
      <c r="K47" s="820"/>
      <c r="L47" s="950" t="s">
        <v>445</v>
      </c>
      <c r="M47" s="868">
        <f>22+0</f>
        <v>22</v>
      </c>
      <c r="N47" s="951" t="s">
        <v>439</v>
      </c>
      <c r="O47" s="952" t="s">
        <v>444</v>
      </c>
      <c r="P47" s="736"/>
      <c r="Q47" s="736"/>
      <c r="R47" s="739"/>
      <c r="S47" s="739"/>
    </row>
    <row r="48" spans="2:19" s="738" customFormat="1" x14ac:dyDescent="0.3">
      <c r="B48" s="754"/>
      <c r="C48" s="816"/>
      <c r="D48" s="851"/>
      <c r="E48" s="755"/>
      <c r="F48" s="755"/>
      <c r="G48" s="755"/>
      <c r="H48" s="755"/>
      <c r="I48" s="755"/>
      <c r="J48" s="938">
        <f>M48*625000</f>
        <v>4787500000</v>
      </c>
      <c r="K48" s="822"/>
      <c r="L48" s="828" t="s">
        <v>442</v>
      </c>
      <c r="M48" s="852">
        <f>586+2074+5000</f>
        <v>7660</v>
      </c>
      <c r="N48" s="858" t="s">
        <v>413</v>
      </c>
      <c r="O48" s="787" t="s">
        <v>438</v>
      </c>
      <c r="P48" s="736"/>
      <c r="Q48" s="736"/>
      <c r="R48" s="739"/>
      <c r="S48" s="739"/>
    </row>
    <row r="49" spans="2:19" s="738" customFormat="1" x14ac:dyDescent="0.3">
      <c r="B49" s="754"/>
      <c r="C49" s="816"/>
      <c r="D49" s="851"/>
      <c r="E49" s="755"/>
      <c r="F49" s="755"/>
      <c r="G49" s="755"/>
      <c r="H49" s="755"/>
      <c r="I49" s="755"/>
      <c r="J49" s="920"/>
      <c r="K49" s="816"/>
      <c r="L49" s="829" t="s">
        <v>440</v>
      </c>
      <c r="M49" s="850">
        <v>27</v>
      </c>
      <c r="N49" s="859" t="s">
        <v>439</v>
      </c>
      <c r="O49" s="758" t="s">
        <v>438</v>
      </c>
      <c r="P49" s="736"/>
      <c r="Q49" s="736"/>
      <c r="R49" s="739"/>
      <c r="S49" s="739"/>
    </row>
    <row r="50" spans="2:19" s="738" customFormat="1" x14ac:dyDescent="0.3">
      <c r="B50" s="754"/>
      <c r="C50" s="816"/>
      <c r="D50" s="851"/>
      <c r="E50" s="755"/>
      <c r="F50" s="755"/>
      <c r="G50" s="755"/>
      <c r="H50" s="755"/>
      <c r="I50" s="755"/>
      <c r="J50" s="920"/>
      <c r="K50" s="816"/>
      <c r="L50" s="829" t="s">
        <v>436</v>
      </c>
      <c r="M50" s="861">
        <v>15</v>
      </c>
      <c r="N50" s="859" t="s">
        <v>439</v>
      </c>
      <c r="O50" s="754" t="s">
        <v>507</v>
      </c>
      <c r="P50" s="736"/>
      <c r="Q50" s="736"/>
      <c r="R50" s="739"/>
      <c r="S50" s="739"/>
    </row>
    <row r="51" spans="2:19" s="738" customFormat="1" x14ac:dyDescent="0.3">
      <c r="B51" s="754"/>
      <c r="C51" s="816"/>
      <c r="D51" s="851"/>
      <c r="E51" s="755"/>
      <c r="F51" s="755"/>
      <c r="G51" s="755"/>
      <c r="H51" s="755"/>
      <c r="I51" s="755"/>
      <c r="J51" s="920"/>
      <c r="K51" s="816"/>
      <c r="L51" s="829" t="s">
        <v>434</v>
      </c>
      <c r="M51" s="861">
        <v>15</v>
      </c>
      <c r="N51" s="859" t="s">
        <v>439</v>
      </c>
      <c r="O51" s="754" t="s">
        <v>507</v>
      </c>
      <c r="P51" s="736"/>
      <c r="Q51" s="736"/>
      <c r="R51" s="739"/>
      <c r="S51" s="739"/>
    </row>
    <row r="52" spans="2:19" s="738" customFormat="1" x14ac:dyDescent="0.3">
      <c r="B52" s="786"/>
      <c r="C52" s="820"/>
      <c r="D52" s="821"/>
      <c r="E52" s="780"/>
      <c r="F52" s="780"/>
      <c r="G52" s="780"/>
      <c r="H52" s="780"/>
      <c r="I52" s="780"/>
      <c r="J52" s="922"/>
      <c r="K52" s="820"/>
      <c r="L52" s="821"/>
      <c r="M52" s="820"/>
      <c r="N52" s="821"/>
      <c r="O52" s="780"/>
      <c r="P52" s="736"/>
      <c r="Q52" s="736"/>
      <c r="R52" s="739"/>
      <c r="S52" s="739"/>
    </row>
    <row r="53" spans="2:19" s="733" customFormat="1" x14ac:dyDescent="0.25">
      <c r="B53" s="788">
        <v>7</v>
      </c>
      <c r="C53" s="875" t="s">
        <v>448</v>
      </c>
      <c r="D53" s="888"/>
      <c r="E53" s="790">
        <v>1022</v>
      </c>
      <c r="F53" s="791" t="s">
        <v>543</v>
      </c>
      <c r="G53" s="789" t="s">
        <v>429</v>
      </c>
      <c r="H53" s="789" t="s">
        <v>429</v>
      </c>
      <c r="I53" s="789" t="s">
        <v>335</v>
      </c>
      <c r="J53" s="928">
        <f>SUM(J54:J55)</f>
        <v>14346025000</v>
      </c>
      <c r="K53" s="831">
        <v>1</v>
      </c>
      <c r="L53" s="828" t="s">
        <v>447</v>
      </c>
      <c r="M53" s="852">
        <f>2712+8627</f>
        <v>11339</v>
      </c>
      <c r="N53" s="858" t="s">
        <v>413</v>
      </c>
      <c r="O53" s="787" t="s">
        <v>444</v>
      </c>
      <c r="P53" s="737" t="s">
        <v>37</v>
      </c>
      <c r="Q53" s="733" t="s">
        <v>446</v>
      </c>
    </row>
    <row r="54" spans="2:19" s="733" customFormat="1" x14ac:dyDescent="0.25">
      <c r="B54" s="759"/>
      <c r="C54" s="876"/>
      <c r="D54" s="889"/>
      <c r="E54" s="761"/>
      <c r="F54" s="762" t="s">
        <v>544</v>
      </c>
      <c r="G54" s="760"/>
      <c r="H54" s="760"/>
      <c r="I54" s="760"/>
      <c r="J54" s="953">
        <f>2644200000+8411325000+344250000</f>
        <v>11399775000</v>
      </c>
      <c r="K54" s="954">
        <v>2</v>
      </c>
      <c r="L54" s="946" t="s">
        <v>445</v>
      </c>
      <c r="M54" s="909">
        <v>81</v>
      </c>
      <c r="N54" s="947" t="s">
        <v>439</v>
      </c>
      <c r="O54" s="948" t="s">
        <v>444</v>
      </c>
      <c r="P54" s="735" t="s">
        <v>37</v>
      </c>
      <c r="Q54" s="733" t="s">
        <v>443</v>
      </c>
    </row>
    <row r="55" spans="2:19" s="733" customFormat="1" x14ac:dyDescent="0.25">
      <c r="B55" s="759"/>
      <c r="C55" s="876"/>
      <c r="D55" s="889"/>
      <c r="E55" s="761"/>
      <c r="F55" s="761"/>
      <c r="G55" s="760"/>
      <c r="H55" s="760"/>
      <c r="I55" s="760"/>
      <c r="J55" s="955">
        <f>658750000+2147500000+140000000</f>
        <v>2946250000</v>
      </c>
      <c r="K55" s="956">
        <v>3</v>
      </c>
      <c r="L55" s="830" t="s">
        <v>442</v>
      </c>
      <c r="M55" s="848">
        <f>586+2074+2000</f>
        <v>4660</v>
      </c>
      <c r="N55" s="860" t="s">
        <v>413</v>
      </c>
      <c r="O55" s="792" t="s">
        <v>438</v>
      </c>
      <c r="P55" s="735" t="s">
        <v>37</v>
      </c>
      <c r="Q55" s="733" t="s">
        <v>441</v>
      </c>
    </row>
    <row r="56" spans="2:19" s="733" customFormat="1" ht="28.8" x14ac:dyDescent="0.25">
      <c r="B56" s="759"/>
      <c r="C56" s="876"/>
      <c r="D56" s="889"/>
      <c r="E56" s="761"/>
      <c r="F56" s="761"/>
      <c r="G56" s="760"/>
      <c r="H56" s="760"/>
      <c r="I56" s="760"/>
      <c r="J56" s="929"/>
      <c r="K56" s="832">
        <v>4</v>
      </c>
      <c r="L56" s="833" t="s">
        <v>440</v>
      </c>
      <c r="M56" s="862">
        <v>14</v>
      </c>
      <c r="N56" s="863" t="s">
        <v>439</v>
      </c>
      <c r="O56" s="763" t="s">
        <v>438</v>
      </c>
      <c r="P56" s="735" t="s">
        <v>37</v>
      </c>
      <c r="Q56" s="734" t="s">
        <v>437</v>
      </c>
    </row>
    <row r="57" spans="2:19" s="733" customFormat="1" ht="28.8" x14ac:dyDescent="0.25">
      <c r="B57" s="759"/>
      <c r="C57" s="876"/>
      <c r="D57" s="889"/>
      <c r="E57" s="761"/>
      <c r="F57" s="761"/>
      <c r="G57" s="760"/>
      <c r="H57" s="760"/>
      <c r="I57" s="760"/>
      <c r="J57" s="929"/>
      <c r="K57" s="832">
        <v>5</v>
      </c>
      <c r="L57" s="833" t="s">
        <v>436</v>
      </c>
      <c r="M57" s="864">
        <v>25</v>
      </c>
      <c r="N57" s="863" t="s">
        <v>439</v>
      </c>
      <c r="O57" s="764" t="s">
        <v>507</v>
      </c>
      <c r="P57" s="735" t="s">
        <v>37</v>
      </c>
      <c r="Q57" s="734" t="s">
        <v>435</v>
      </c>
    </row>
    <row r="58" spans="2:19" s="733" customFormat="1" x14ac:dyDescent="0.25">
      <c r="B58" s="759"/>
      <c r="C58" s="876"/>
      <c r="D58" s="889"/>
      <c r="E58" s="761"/>
      <c r="F58" s="761"/>
      <c r="G58" s="760"/>
      <c r="H58" s="760"/>
      <c r="I58" s="760"/>
      <c r="J58" s="929"/>
      <c r="K58" s="832">
        <v>6</v>
      </c>
      <c r="L58" s="833" t="s">
        <v>434</v>
      </c>
      <c r="M58" s="864">
        <v>25</v>
      </c>
      <c r="N58" s="863" t="s">
        <v>439</v>
      </c>
      <c r="O58" s="764" t="s">
        <v>507</v>
      </c>
      <c r="P58" s="735"/>
      <c r="Q58" s="734"/>
    </row>
    <row r="59" spans="2:19" s="732" customFormat="1" ht="19.5" hidden="1" customHeight="1" x14ac:dyDescent="0.25">
      <c r="B59" s="764"/>
      <c r="C59" s="877">
        <v>1</v>
      </c>
      <c r="D59" s="865" t="s">
        <v>433</v>
      </c>
      <c r="E59" s="763">
        <v>196</v>
      </c>
      <c r="F59" s="763"/>
      <c r="G59" s="765" t="s">
        <v>432</v>
      </c>
      <c r="H59" s="765" t="s">
        <v>415</v>
      </c>
      <c r="I59" s="765"/>
      <c r="J59" s="930"/>
      <c r="K59" s="834">
        <v>1</v>
      </c>
      <c r="L59" s="1068" t="s">
        <v>431</v>
      </c>
      <c r="M59" s="834">
        <f>500+90+17+273</f>
        <v>880</v>
      </c>
      <c r="N59" s="865" t="s">
        <v>413</v>
      </c>
      <c r="O59" s="763" t="s">
        <v>423</v>
      </c>
      <c r="Q59" s="731"/>
    </row>
    <row r="60" spans="2:19" hidden="1" x14ac:dyDescent="0.3">
      <c r="B60" s="766"/>
      <c r="C60" s="878"/>
      <c r="D60" s="836"/>
      <c r="E60" s="767"/>
      <c r="F60" s="767"/>
      <c r="G60" s="768"/>
      <c r="H60" s="768"/>
      <c r="I60" s="768"/>
      <c r="J60" s="924"/>
      <c r="K60" s="835"/>
      <c r="L60" s="1068"/>
      <c r="M60" s="835"/>
      <c r="N60" s="836"/>
      <c r="O60" s="768"/>
      <c r="P60" s="732"/>
      <c r="Q60" s="731"/>
    </row>
    <row r="61" spans="2:19" hidden="1" x14ac:dyDescent="0.3">
      <c r="B61" s="766"/>
      <c r="C61" s="878"/>
      <c r="D61" s="836"/>
      <c r="E61" s="767"/>
      <c r="F61" s="767"/>
      <c r="G61" s="768"/>
      <c r="H61" s="768"/>
      <c r="I61" s="768"/>
      <c r="J61" s="924"/>
      <c r="K61" s="835"/>
      <c r="L61" s="911"/>
      <c r="M61" s="835"/>
      <c r="N61" s="836"/>
      <c r="O61" s="768"/>
      <c r="Q61" s="731"/>
    </row>
    <row r="62" spans="2:19" hidden="1" x14ac:dyDescent="0.3">
      <c r="B62" s="766"/>
      <c r="C62" s="878">
        <v>2</v>
      </c>
      <c r="D62" s="836" t="s">
        <v>430</v>
      </c>
      <c r="E62" s="767">
        <v>558</v>
      </c>
      <c r="F62" s="767"/>
      <c r="G62" s="768" t="s">
        <v>429</v>
      </c>
      <c r="H62" s="768"/>
      <c r="I62" s="768"/>
      <c r="J62" s="924"/>
      <c r="K62" s="835">
        <v>1</v>
      </c>
      <c r="L62" s="836" t="s">
        <v>428</v>
      </c>
      <c r="M62" s="835">
        <f>380+32+120+205+217+595+169+81+299+868</f>
        <v>2966</v>
      </c>
      <c r="N62" s="836" t="s">
        <v>413</v>
      </c>
      <c r="O62" s="767" t="s">
        <v>423</v>
      </c>
      <c r="Q62" s="731"/>
    </row>
    <row r="63" spans="2:19" hidden="1" x14ac:dyDescent="0.3">
      <c r="B63" s="766"/>
      <c r="C63" s="878"/>
      <c r="D63" s="836"/>
      <c r="E63" s="767"/>
      <c r="F63" s="767"/>
      <c r="G63" s="769" t="s">
        <v>427</v>
      </c>
      <c r="H63" s="768"/>
      <c r="I63" s="768"/>
      <c r="J63" s="924"/>
      <c r="K63" s="835"/>
      <c r="L63" s="836"/>
      <c r="M63" s="835"/>
      <c r="N63" s="836"/>
      <c r="O63" s="768"/>
      <c r="P63" s="732"/>
      <c r="Q63" s="731"/>
    </row>
    <row r="64" spans="2:19" hidden="1" x14ac:dyDescent="0.3">
      <c r="B64" s="766"/>
      <c r="C64" s="878"/>
      <c r="D64" s="836"/>
      <c r="E64" s="767"/>
      <c r="F64" s="767"/>
      <c r="G64" s="769" t="s">
        <v>411</v>
      </c>
      <c r="H64" s="768"/>
      <c r="I64" s="768"/>
      <c r="J64" s="924"/>
      <c r="K64" s="835"/>
      <c r="L64" s="836"/>
      <c r="M64" s="835"/>
      <c r="N64" s="836"/>
      <c r="O64" s="768"/>
      <c r="Q64" s="731"/>
    </row>
    <row r="65" spans="2:17" hidden="1" x14ac:dyDescent="0.3">
      <c r="B65" s="766"/>
      <c r="C65" s="878"/>
      <c r="D65" s="836"/>
      <c r="E65" s="767"/>
      <c r="F65" s="767"/>
      <c r="G65" s="768"/>
      <c r="H65" s="768"/>
      <c r="I65" s="768"/>
      <c r="J65" s="924"/>
      <c r="K65" s="835"/>
      <c r="L65" s="836"/>
      <c r="M65" s="835"/>
      <c r="N65" s="836"/>
      <c r="O65" s="768"/>
    </row>
    <row r="66" spans="2:17" hidden="1" x14ac:dyDescent="0.3">
      <c r="B66" s="766"/>
      <c r="C66" s="878">
        <v>3</v>
      </c>
      <c r="D66" s="836" t="s">
        <v>426</v>
      </c>
      <c r="E66" s="767">
        <v>260</v>
      </c>
      <c r="F66" s="767"/>
      <c r="G66" s="768" t="s">
        <v>426</v>
      </c>
      <c r="H66" s="768"/>
      <c r="I66" s="768"/>
      <c r="J66" s="924"/>
      <c r="K66" s="835">
        <v>1</v>
      </c>
      <c r="L66" s="836" t="s">
        <v>425</v>
      </c>
      <c r="M66" s="835">
        <f>100+190</f>
        <v>290</v>
      </c>
      <c r="N66" s="836" t="s">
        <v>413</v>
      </c>
      <c r="O66" s="767" t="s">
        <v>423</v>
      </c>
      <c r="Q66" s="731"/>
    </row>
    <row r="67" spans="2:17" hidden="1" x14ac:dyDescent="0.3">
      <c r="B67" s="766"/>
      <c r="C67" s="878"/>
      <c r="D67" s="836"/>
      <c r="E67" s="767"/>
      <c r="F67" s="767"/>
      <c r="G67" s="768" t="s">
        <v>417</v>
      </c>
      <c r="H67" s="768"/>
      <c r="I67" s="768"/>
      <c r="J67" s="924"/>
      <c r="K67" s="835">
        <v>2</v>
      </c>
      <c r="L67" s="836" t="s">
        <v>424</v>
      </c>
      <c r="M67" s="835">
        <f>275+250+350+200+980+900+500+270+285+750</f>
        <v>4760</v>
      </c>
      <c r="N67" s="836" t="s">
        <v>413</v>
      </c>
      <c r="O67" s="767" t="s">
        <v>423</v>
      </c>
      <c r="Q67" s="731"/>
    </row>
    <row r="68" spans="2:17" hidden="1" x14ac:dyDescent="0.3">
      <c r="B68" s="766"/>
      <c r="C68" s="878"/>
      <c r="D68" s="836"/>
      <c r="E68" s="767"/>
      <c r="F68" s="767"/>
      <c r="G68" s="768"/>
      <c r="H68" s="768"/>
      <c r="I68" s="768"/>
      <c r="J68" s="924"/>
      <c r="K68" s="835"/>
      <c r="L68" s="836"/>
      <c r="M68" s="835"/>
      <c r="N68" s="836"/>
      <c r="O68" s="768"/>
      <c r="Q68" s="731"/>
    </row>
    <row r="69" spans="2:17" hidden="1" x14ac:dyDescent="0.3">
      <c r="B69" s="766"/>
      <c r="C69" s="878"/>
      <c r="D69" s="836"/>
      <c r="E69" s="767"/>
      <c r="F69" s="767"/>
      <c r="G69" s="768"/>
      <c r="H69" s="768"/>
      <c r="I69" s="768"/>
      <c r="J69" s="924"/>
      <c r="K69" s="835"/>
      <c r="L69" s="836"/>
      <c r="M69" s="835"/>
      <c r="N69" s="836"/>
      <c r="O69" s="768"/>
      <c r="Q69" s="731"/>
    </row>
    <row r="70" spans="2:17" hidden="1" x14ac:dyDescent="0.3">
      <c r="B70" s="766"/>
      <c r="C70" s="878"/>
      <c r="D70" s="836"/>
      <c r="E70" s="767"/>
      <c r="F70" s="767"/>
      <c r="G70" s="768"/>
      <c r="H70" s="768"/>
      <c r="I70" s="768"/>
      <c r="J70" s="924"/>
      <c r="K70" s="835"/>
      <c r="L70" s="836"/>
      <c r="M70" s="835"/>
      <c r="N70" s="836"/>
      <c r="O70" s="768"/>
    </row>
    <row r="71" spans="2:17" hidden="1" x14ac:dyDescent="0.3">
      <c r="B71" s="766"/>
      <c r="C71" s="878">
        <v>4</v>
      </c>
      <c r="D71" s="836" t="s">
        <v>422</v>
      </c>
      <c r="E71" s="767">
        <v>80</v>
      </c>
      <c r="F71" s="767"/>
      <c r="G71" s="768" t="s">
        <v>411</v>
      </c>
      <c r="H71" s="768"/>
      <c r="I71" s="768"/>
      <c r="J71" s="924"/>
      <c r="K71" s="835"/>
      <c r="L71" s="837" t="s">
        <v>37</v>
      </c>
      <c r="M71" s="835"/>
      <c r="N71" s="836"/>
      <c r="O71" s="768"/>
      <c r="Q71" s="730" t="s">
        <v>37</v>
      </c>
    </row>
    <row r="72" spans="2:17" hidden="1" x14ac:dyDescent="0.3">
      <c r="B72" s="766"/>
      <c r="C72" s="878"/>
      <c r="D72" s="836"/>
      <c r="E72" s="767"/>
      <c r="F72" s="767"/>
      <c r="G72" s="768" t="s">
        <v>417</v>
      </c>
      <c r="H72" s="768"/>
      <c r="I72" s="768"/>
      <c r="J72" s="924"/>
      <c r="K72" s="835"/>
      <c r="L72" s="836"/>
      <c r="M72" s="835"/>
      <c r="N72" s="836"/>
      <c r="O72" s="768"/>
    </row>
    <row r="73" spans="2:17" hidden="1" x14ac:dyDescent="0.3">
      <c r="B73" s="766"/>
      <c r="C73" s="878"/>
      <c r="D73" s="836"/>
      <c r="E73" s="767"/>
      <c r="F73" s="767"/>
      <c r="G73" s="768"/>
      <c r="H73" s="768"/>
      <c r="I73" s="768"/>
      <c r="J73" s="924"/>
      <c r="K73" s="835"/>
      <c r="L73" s="836"/>
      <c r="M73" s="835"/>
      <c r="N73" s="836"/>
      <c r="O73" s="768"/>
    </row>
    <row r="74" spans="2:17" hidden="1" x14ac:dyDescent="0.3">
      <c r="B74" s="766"/>
      <c r="C74" s="878">
        <v>5</v>
      </c>
      <c r="D74" s="836" t="s">
        <v>421</v>
      </c>
      <c r="E74" s="767">
        <v>178</v>
      </c>
      <c r="F74" s="767"/>
      <c r="G74" s="768" t="s">
        <v>421</v>
      </c>
      <c r="H74" s="768"/>
      <c r="I74" s="768"/>
      <c r="J74" s="924"/>
      <c r="K74" s="835">
        <v>1</v>
      </c>
      <c r="L74" s="836" t="s">
        <v>420</v>
      </c>
      <c r="M74" s="835">
        <f>150+151</f>
        <v>301</v>
      </c>
      <c r="N74" s="836" t="s">
        <v>413</v>
      </c>
      <c r="O74" s="767" t="s">
        <v>412</v>
      </c>
    </row>
    <row r="75" spans="2:17" hidden="1" x14ac:dyDescent="0.3">
      <c r="B75" s="766"/>
      <c r="C75" s="878"/>
      <c r="D75" s="836"/>
      <c r="E75" s="767"/>
      <c r="F75" s="767"/>
      <c r="G75" s="768" t="s">
        <v>419</v>
      </c>
      <c r="H75" s="768"/>
      <c r="I75" s="768"/>
      <c r="J75" s="924"/>
      <c r="K75" s="835">
        <v>2</v>
      </c>
      <c r="L75" s="836" t="s">
        <v>418</v>
      </c>
      <c r="M75" s="835">
        <f>195+120+177+170+288+95</f>
        <v>1045</v>
      </c>
      <c r="N75" s="836" t="s">
        <v>413</v>
      </c>
      <c r="O75" s="767" t="s">
        <v>412</v>
      </c>
    </row>
    <row r="76" spans="2:17" hidden="1" x14ac:dyDescent="0.3">
      <c r="B76" s="766"/>
      <c r="C76" s="878"/>
      <c r="D76" s="836"/>
      <c r="E76" s="767"/>
      <c r="F76" s="767"/>
      <c r="G76" s="768" t="s">
        <v>417</v>
      </c>
      <c r="H76" s="768"/>
      <c r="I76" s="768"/>
      <c r="J76" s="924"/>
      <c r="K76" s="835"/>
      <c r="L76" s="836" t="s">
        <v>416</v>
      </c>
      <c r="M76" s="835"/>
      <c r="N76" s="836"/>
      <c r="O76" s="768"/>
    </row>
    <row r="77" spans="2:17" hidden="1" x14ac:dyDescent="0.3">
      <c r="B77" s="766"/>
      <c r="C77" s="878"/>
      <c r="D77" s="836"/>
      <c r="E77" s="767"/>
      <c r="F77" s="767"/>
      <c r="G77" s="768" t="s">
        <v>415</v>
      </c>
      <c r="H77" s="768"/>
      <c r="I77" s="768"/>
      <c r="J77" s="924"/>
      <c r="K77" s="835">
        <v>3</v>
      </c>
      <c r="L77" s="836" t="s">
        <v>414</v>
      </c>
      <c r="M77" s="835">
        <f>210+100+500</f>
        <v>810</v>
      </c>
      <c r="N77" s="836" t="s">
        <v>413</v>
      </c>
      <c r="O77" s="767" t="s">
        <v>412</v>
      </c>
    </row>
    <row r="78" spans="2:17" hidden="1" x14ac:dyDescent="0.3">
      <c r="B78" s="766"/>
      <c r="C78" s="878"/>
      <c r="D78" s="836"/>
      <c r="E78" s="767"/>
      <c r="F78" s="767"/>
      <c r="G78" s="768" t="s">
        <v>411</v>
      </c>
      <c r="H78" s="768"/>
      <c r="I78" s="768"/>
      <c r="J78" s="924"/>
      <c r="K78" s="835"/>
      <c r="L78" s="836"/>
      <c r="M78" s="835"/>
      <c r="N78" s="836"/>
      <c r="O78" s="768"/>
    </row>
    <row r="79" spans="2:17" x14ac:dyDescent="0.3">
      <c r="B79" s="793"/>
      <c r="C79" s="879"/>
      <c r="D79" s="839"/>
      <c r="E79" s="794"/>
      <c r="F79" s="794"/>
      <c r="G79" s="795"/>
      <c r="H79" s="795"/>
      <c r="I79" s="795"/>
      <c r="J79" s="931"/>
      <c r="K79" s="838"/>
      <c r="L79" s="839"/>
      <c r="M79" s="838"/>
      <c r="N79" s="839"/>
      <c r="O79" s="795"/>
    </row>
    <row r="80" spans="2:17" x14ac:dyDescent="0.3">
      <c r="B80" s="801">
        <v>8</v>
      </c>
      <c r="C80" s="880" t="s">
        <v>388</v>
      </c>
      <c r="D80" s="890"/>
      <c r="E80" s="804">
        <v>1666</v>
      </c>
      <c r="F80" s="801" t="s">
        <v>508</v>
      </c>
      <c r="G80" s="801" t="s">
        <v>388</v>
      </c>
      <c r="H80" s="801" t="s">
        <v>388</v>
      </c>
      <c r="I80" s="802" t="s">
        <v>335</v>
      </c>
      <c r="J80" s="932">
        <f>SUM(J81:J82)</f>
        <v>4158525000</v>
      </c>
      <c r="K80" s="840"/>
      <c r="L80" s="815" t="s">
        <v>447</v>
      </c>
      <c r="M80" s="848">
        <v>1844</v>
      </c>
      <c r="N80" s="849" t="s">
        <v>413</v>
      </c>
      <c r="O80" s="752" t="s">
        <v>444</v>
      </c>
    </row>
    <row r="81" spans="2:17" x14ac:dyDescent="0.3">
      <c r="B81" s="766"/>
      <c r="C81" s="835"/>
      <c r="D81" s="836"/>
      <c r="E81" s="767"/>
      <c r="F81" s="766" t="s">
        <v>509</v>
      </c>
      <c r="G81" s="766" t="s">
        <v>510</v>
      </c>
      <c r="H81" s="768"/>
      <c r="I81" s="768"/>
      <c r="J81" s="957">
        <f>(M80*975000)+15000000</f>
        <v>1812900000</v>
      </c>
      <c r="K81" s="841"/>
      <c r="L81" s="847" t="s">
        <v>445</v>
      </c>
      <c r="M81" s="868">
        <v>3</v>
      </c>
      <c r="N81" s="821" t="s">
        <v>439</v>
      </c>
      <c r="O81" s="780" t="s">
        <v>444</v>
      </c>
    </row>
    <row r="82" spans="2:17" x14ac:dyDescent="0.3">
      <c r="B82" s="766"/>
      <c r="C82" s="835"/>
      <c r="D82" s="836"/>
      <c r="E82" s="767"/>
      <c r="F82" s="767"/>
      <c r="G82" s="766" t="s">
        <v>511</v>
      </c>
      <c r="H82" s="768"/>
      <c r="I82" s="768"/>
      <c r="J82" s="934">
        <f>(M82*625000)+45000000</f>
        <v>2345625000</v>
      </c>
      <c r="K82" s="843"/>
      <c r="L82" s="823" t="s">
        <v>442</v>
      </c>
      <c r="M82" s="852">
        <f>2603+1078</f>
        <v>3681</v>
      </c>
      <c r="N82" s="853" t="s">
        <v>413</v>
      </c>
      <c r="O82" s="785" t="s">
        <v>438</v>
      </c>
    </row>
    <row r="83" spans="2:17" x14ac:dyDescent="0.3">
      <c r="B83" s="766"/>
      <c r="C83" s="835"/>
      <c r="D83" s="836"/>
      <c r="E83" s="767"/>
      <c r="F83" s="767"/>
      <c r="G83" s="766" t="s">
        <v>512</v>
      </c>
      <c r="H83" s="768"/>
      <c r="I83" s="768"/>
      <c r="J83" s="924"/>
      <c r="K83" s="835"/>
      <c r="L83" s="817" t="s">
        <v>440</v>
      </c>
      <c r="M83" s="850">
        <v>15</v>
      </c>
      <c r="N83" s="851" t="s">
        <v>439</v>
      </c>
      <c r="O83" s="755" t="s">
        <v>438</v>
      </c>
    </row>
    <row r="84" spans="2:17" x14ac:dyDescent="0.3">
      <c r="B84" s="766"/>
      <c r="C84" s="835"/>
      <c r="D84" s="836"/>
      <c r="E84" s="767"/>
      <c r="F84" s="767"/>
      <c r="G84" s="766" t="s">
        <v>513</v>
      </c>
      <c r="H84" s="768"/>
      <c r="I84" s="768"/>
      <c r="J84" s="924"/>
      <c r="K84" s="835"/>
      <c r="L84" s="817" t="s">
        <v>436</v>
      </c>
      <c r="M84" s="850">
        <v>10</v>
      </c>
      <c r="N84" s="851"/>
      <c r="O84" s="755"/>
    </row>
    <row r="85" spans="2:17" x14ac:dyDescent="0.3">
      <c r="B85" s="766"/>
      <c r="C85" s="835"/>
      <c r="D85" s="836"/>
      <c r="E85" s="767"/>
      <c r="F85" s="767"/>
      <c r="G85" s="768"/>
      <c r="H85" s="768"/>
      <c r="I85" s="768"/>
      <c r="J85" s="924"/>
      <c r="K85" s="835"/>
      <c r="L85" s="817" t="s">
        <v>434</v>
      </c>
      <c r="M85" s="850">
        <v>10</v>
      </c>
      <c r="N85" s="851"/>
      <c r="O85" s="755"/>
    </row>
    <row r="86" spans="2:17" x14ac:dyDescent="0.3">
      <c r="B86" s="805"/>
      <c r="C86" s="881"/>
      <c r="D86" s="842"/>
      <c r="E86" s="806"/>
      <c r="F86" s="806"/>
      <c r="G86" s="779"/>
      <c r="H86" s="779"/>
      <c r="I86" s="779"/>
      <c r="J86" s="933"/>
      <c r="K86" s="841"/>
      <c r="L86" s="842"/>
      <c r="M86" s="841"/>
      <c r="N86" s="842"/>
      <c r="O86" s="779"/>
    </row>
    <row r="87" spans="2:17" x14ac:dyDescent="0.3">
      <c r="B87" s="796">
        <v>9</v>
      </c>
      <c r="C87" s="882" t="s">
        <v>533</v>
      </c>
      <c r="D87" s="891"/>
      <c r="E87" s="798">
        <v>1060</v>
      </c>
      <c r="F87" s="799" t="s">
        <v>580</v>
      </c>
      <c r="G87" s="800" t="s">
        <v>579</v>
      </c>
      <c r="H87" s="800" t="s">
        <v>389</v>
      </c>
      <c r="I87" s="800" t="s">
        <v>528</v>
      </c>
      <c r="J87" s="934">
        <v>6974476000</v>
      </c>
      <c r="K87" s="843"/>
      <c r="L87" s="844" t="s">
        <v>447</v>
      </c>
      <c r="M87" s="866">
        <v>1957</v>
      </c>
      <c r="N87" s="867" t="s">
        <v>413</v>
      </c>
      <c r="O87" s="784" t="s">
        <v>444</v>
      </c>
    </row>
    <row r="88" spans="2:17" x14ac:dyDescent="0.3">
      <c r="B88" s="766"/>
      <c r="C88" s="878"/>
      <c r="D88" s="836"/>
      <c r="E88" s="767"/>
      <c r="F88" s="771" t="s">
        <v>581</v>
      </c>
      <c r="G88" s="772" t="s">
        <v>582</v>
      </c>
      <c r="H88" s="768"/>
      <c r="I88" s="768"/>
      <c r="J88" s="958">
        <f>J87-J89</f>
        <v>3924476000</v>
      </c>
      <c r="K88" s="838"/>
      <c r="L88" s="905" t="s">
        <v>445</v>
      </c>
      <c r="M88" s="906">
        <v>2</v>
      </c>
      <c r="N88" s="907" t="s">
        <v>439</v>
      </c>
      <c r="O88" s="782" t="s">
        <v>444</v>
      </c>
    </row>
    <row r="89" spans="2:17" x14ac:dyDescent="0.3">
      <c r="B89" s="766"/>
      <c r="C89" s="878"/>
      <c r="D89" s="836"/>
      <c r="E89" s="767"/>
      <c r="F89" s="771" t="s">
        <v>584</v>
      </c>
      <c r="G89" s="772" t="s">
        <v>583</v>
      </c>
      <c r="H89" s="768"/>
      <c r="I89" s="768"/>
      <c r="J89" s="932">
        <v>3050000000</v>
      </c>
      <c r="K89" s="840"/>
      <c r="L89" s="825" t="s">
        <v>442</v>
      </c>
      <c r="M89" s="854">
        <v>2701</v>
      </c>
      <c r="N89" s="855" t="s">
        <v>413</v>
      </c>
      <c r="O89" s="751" t="s">
        <v>438</v>
      </c>
    </row>
    <row r="90" spans="2:17" x14ac:dyDescent="0.3">
      <c r="B90" s="766"/>
      <c r="C90" s="878"/>
      <c r="D90" s="836"/>
      <c r="E90" s="767"/>
      <c r="F90" s="771" t="s">
        <v>585</v>
      </c>
      <c r="G90" s="772" t="s">
        <v>583</v>
      </c>
      <c r="H90" s="768"/>
      <c r="I90" s="768"/>
      <c r="J90" s="924"/>
      <c r="K90" s="835"/>
      <c r="L90" s="827" t="s">
        <v>440</v>
      </c>
      <c r="M90" s="856">
        <v>5</v>
      </c>
      <c r="N90" s="857" t="s">
        <v>439</v>
      </c>
      <c r="O90" s="754" t="s">
        <v>438</v>
      </c>
    </row>
    <row r="91" spans="2:17" x14ac:dyDescent="0.3">
      <c r="B91" s="766"/>
      <c r="C91" s="878"/>
      <c r="D91" s="836"/>
      <c r="E91" s="767"/>
      <c r="F91" s="771" t="s">
        <v>586</v>
      </c>
      <c r="G91" s="772" t="s">
        <v>587</v>
      </c>
      <c r="H91" s="768"/>
      <c r="I91" s="768"/>
      <c r="J91" s="924"/>
      <c r="K91" s="835"/>
      <c r="L91" s="827" t="s">
        <v>436</v>
      </c>
      <c r="M91" s="856">
        <v>3</v>
      </c>
      <c r="N91" s="857" t="s">
        <v>439</v>
      </c>
      <c r="O91" s="754"/>
    </row>
    <row r="92" spans="2:17" x14ac:dyDescent="0.3">
      <c r="B92" s="766"/>
      <c r="C92" s="878"/>
      <c r="D92" s="836"/>
      <c r="E92" s="767"/>
      <c r="F92" s="767"/>
      <c r="G92" s="768"/>
      <c r="H92" s="768"/>
      <c r="I92" s="768"/>
      <c r="J92" s="924"/>
      <c r="K92" s="835"/>
      <c r="L92" s="827" t="s">
        <v>434</v>
      </c>
      <c r="M92" s="856">
        <v>3</v>
      </c>
      <c r="N92" s="857" t="s">
        <v>439</v>
      </c>
      <c r="O92" s="754"/>
    </row>
    <row r="93" spans="2:17" x14ac:dyDescent="0.3">
      <c r="B93" s="793"/>
      <c r="C93" s="879"/>
      <c r="D93" s="839"/>
      <c r="E93" s="794"/>
      <c r="F93" s="794"/>
      <c r="G93" s="795"/>
      <c r="H93" s="795"/>
      <c r="I93" s="795"/>
      <c r="J93" s="931"/>
      <c r="K93" s="838"/>
      <c r="L93" s="905"/>
      <c r="M93" s="906"/>
      <c r="N93" s="907"/>
      <c r="O93" s="782"/>
    </row>
    <row r="94" spans="2:17" x14ac:dyDescent="0.3">
      <c r="B94" s="793"/>
      <c r="C94" s="879"/>
      <c r="D94" s="839"/>
      <c r="E94" s="794"/>
      <c r="F94" s="794"/>
      <c r="G94" s="795"/>
      <c r="H94" s="795"/>
      <c r="I94" s="795"/>
      <c r="J94" s="931"/>
      <c r="K94" s="838"/>
      <c r="L94" s="839"/>
      <c r="M94" s="838"/>
      <c r="N94" s="839"/>
      <c r="O94" s="795"/>
    </row>
    <row r="95" spans="2:17" s="745" customFormat="1" x14ac:dyDescent="0.3">
      <c r="B95" s="801">
        <v>10</v>
      </c>
      <c r="C95" s="883" t="s">
        <v>410</v>
      </c>
      <c r="D95" s="892"/>
      <c r="E95" s="809">
        <v>2500</v>
      </c>
      <c r="F95" s="809" t="s">
        <v>524</v>
      </c>
      <c r="G95" s="808" t="s">
        <v>526</v>
      </c>
      <c r="H95" s="808" t="s">
        <v>524</v>
      </c>
      <c r="I95" s="808" t="s">
        <v>528</v>
      </c>
      <c r="J95" s="935">
        <f>SUM(J96:J97)</f>
        <v>6159375000</v>
      </c>
      <c r="K95" s="845"/>
      <c r="L95" s="825" t="s">
        <v>447</v>
      </c>
      <c r="M95" s="854">
        <v>2950</v>
      </c>
      <c r="N95" s="855" t="s">
        <v>413</v>
      </c>
      <c r="O95" s="751" t="s">
        <v>444</v>
      </c>
      <c r="Q95" s="743"/>
    </row>
    <row r="96" spans="2:17" s="745" customFormat="1" x14ac:dyDescent="0.3">
      <c r="B96" s="766"/>
      <c r="C96" s="884"/>
      <c r="D96" s="893"/>
      <c r="E96" s="774"/>
      <c r="F96" s="774" t="s">
        <v>527</v>
      </c>
      <c r="G96" s="773" t="s">
        <v>525</v>
      </c>
      <c r="H96" s="773" t="s">
        <v>389</v>
      </c>
      <c r="I96" s="773"/>
      <c r="J96" s="960">
        <v>2901250000</v>
      </c>
      <c r="K96" s="961"/>
      <c r="L96" s="942" t="s">
        <v>445</v>
      </c>
      <c r="M96" s="943">
        <v>5</v>
      </c>
      <c r="N96" s="944" t="s">
        <v>439</v>
      </c>
      <c r="O96" s="786" t="s">
        <v>444</v>
      </c>
      <c r="Q96" s="743"/>
    </row>
    <row r="97" spans="2:17" s="745" customFormat="1" ht="16.8" x14ac:dyDescent="0.35">
      <c r="B97" s="766"/>
      <c r="C97" s="884"/>
      <c r="D97" s="893"/>
      <c r="E97" s="774"/>
      <c r="F97" s="774" t="s">
        <v>529</v>
      </c>
      <c r="G97" s="773"/>
      <c r="H97" s="773"/>
      <c r="I97" s="773"/>
      <c r="J97" s="934">
        <v>3258125000</v>
      </c>
      <c r="K97" s="959"/>
      <c r="L97" s="844" t="s">
        <v>442</v>
      </c>
      <c r="M97" s="866">
        <v>5157</v>
      </c>
      <c r="N97" s="867" t="s">
        <v>413</v>
      </c>
      <c r="O97" s="784" t="s">
        <v>438</v>
      </c>
      <c r="Q97" s="746"/>
    </row>
    <row r="98" spans="2:17" s="745" customFormat="1" x14ac:dyDescent="0.3">
      <c r="B98" s="766"/>
      <c r="C98" s="884"/>
      <c r="D98" s="893"/>
      <c r="E98" s="774"/>
      <c r="F98" s="774"/>
      <c r="G98" s="773"/>
      <c r="H98" s="773"/>
      <c r="I98" s="773"/>
      <c r="J98" s="924"/>
      <c r="K98" s="846"/>
      <c r="L98" s="827" t="s">
        <v>440</v>
      </c>
      <c r="M98" s="856">
        <v>8</v>
      </c>
      <c r="N98" s="857" t="s">
        <v>439</v>
      </c>
      <c r="O98" s="754" t="s">
        <v>438</v>
      </c>
    </row>
    <row r="99" spans="2:17" s="745" customFormat="1" x14ac:dyDescent="0.3">
      <c r="B99" s="766"/>
      <c r="C99" s="884"/>
      <c r="D99" s="893"/>
      <c r="E99" s="774"/>
      <c r="F99" s="774"/>
      <c r="G99" s="773"/>
      <c r="H99" s="773"/>
      <c r="I99" s="773"/>
      <c r="J99" s="924"/>
      <c r="K99" s="846"/>
      <c r="L99" s="827" t="s">
        <v>436</v>
      </c>
      <c r="M99" s="856">
        <v>8</v>
      </c>
      <c r="N99" s="857" t="s">
        <v>439</v>
      </c>
      <c r="O99" s="754"/>
    </row>
    <row r="100" spans="2:17" s="745" customFormat="1" x14ac:dyDescent="0.3">
      <c r="B100" s="766"/>
      <c r="C100" s="846"/>
      <c r="D100" s="894"/>
      <c r="E100" s="776"/>
      <c r="F100" s="776"/>
      <c r="G100" s="775"/>
      <c r="H100" s="775"/>
      <c r="I100" s="775"/>
      <c r="J100" s="924"/>
      <c r="K100" s="846"/>
      <c r="L100" s="827" t="s">
        <v>434</v>
      </c>
      <c r="M100" s="856">
        <v>10</v>
      </c>
      <c r="N100" s="857" t="s">
        <v>439</v>
      </c>
      <c r="O100" s="754"/>
    </row>
    <row r="101" spans="2:17" x14ac:dyDescent="0.3">
      <c r="B101" s="805"/>
      <c r="C101" s="841"/>
      <c r="D101" s="842"/>
      <c r="E101" s="806"/>
      <c r="F101" s="806"/>
      <c r="G101" s="779"/>
      <c r="H101" s="779"/>
      <c r="I101" s="779"/>
      <c r="J101" s="933"/>
      <c r="K101" s="841"/>
      <c r="L101" s="842"/>
      <c r="M101" s="841"/>
      <c r="N101" s="842"/>
      <c r="O101" s="779"/>
    </row>
    <row r="102" spans="2:17" x14ac:dyDescent="0.3">
      <c r="B102" s="796">
        <v>11</v>
      </c>
      <c r="C102" s="885" t="s">
        <v>490</v>
      </c>
      <c r="D102" s="891"/>
      <c r="E102" s="798">
        <v>1340</v>
      </c>
      <c r="F102" s="796" t="s">
        <v>496</v>
      </c>
      <c r="G102" s="796" t="s">
        <v>490</v>
      </c>
      <c r="H102" s="796" t="s">
        <v>491</v>
      </c>
      <c r="I102" s="807" t="s">
        <v>336</v>
      </c>
      <c r="J102" s="934">
        <f>SUM(J103:J104)</f>
        <v>15403690000</v>
      </c>
      <c r="K102" s="843"/>
      <c r="L102" s="823" t="s">
        <v>447</v>
      </c>
      <c r="M102" s="852">
        <f>3297+7756</f>
        <v>11053</v>
      </c>
      <c r="N102" s="853" t="s">
        <v>413</v>
      </c>
      <c r="O102" s="785" t="s">
        <v>444</v>
      </c>
    </row>
    <row r="103" spans="2:17" x14ac:dyDescent="0.3">
      <c r="B103" s="766"/>
      <c r="C103" s="835"/>
      <c r="D103" s="836"/>
      <c r="E103" s="767"/>
      <c r="F103" s="766" t="s">
        <v>497</v>
      </c>
      <c r="G103" s="766" t="s">
        <v>492</v>
      </c>
      <c r="H103" s="768"/>
      <c r="I103" s="768"/>
      <c r="J103" s="958">
        <f>3214575000+7562490000+8500000</f>
        <v>10785565000</v>
      </c>
      <c r="K103" s="838"/>
      <c r="L103" s="908" t="s">
        <v>445</v>
      </c>
      <c r="M103" s="909">
        <v>5</v>
      </c>
      <c r="N103" s="819" t="s">
        <v>439</v>
      </c>
      <c r="O103" s="783" t="s">
        <v>444</v>
      </c>
    </row>
    <row r="104" spans="2:17" x14ac:dyDescent="0.3">
      <c r="B104" s="766"/>
      <c r="C104" s="835"/>
      <c r="D104" s="836"/>
      <c r="E104" s="767"/>
      <c r="F104" s="767"/>
      <c r="G104" s="766" t="s">
        <v>493</v>
      </c>
      <c r="H104" s="768"/>
      <c r="I104" s="768"/>
      <c r="J104" s="932">
        <f>4603125000+15000000</f>
        <v>4618125000</v>
      </c>
      <c r="K104" s="840"/>
      <c r="L104" s="815" t="s">
        <v>442</v>
      </c>
      <c r="M104" s="848">
        <v>7365</v>
      </c>
      <c r="N104" s="849" t="s">
        <v>413</v>
      </c>
      <c r="O104" s="752" t="s">
        <v>438</v>
      </c>
    </row>
    <row r="105" spans="2:17" x14ac:dyDescent="0.3">
      <c r="B105" s="766"/>
      <c r="C105" s="835"/>
      <c r="D105" s="836"/>
      <c r="E105" s="767"/>
      <c r="F105" s="767"/>
      <c r="G105" s="766" t="s">
        <v>494</v>
      </c>
      <c r="H105" s="768"/>
      <c r="I105" s="768"/>
      <c r="J105" s="924"/>
      <c r="K105" s="835"/>
      <c r="L105" s="817" t="s">
        <v>440</v>
      </c>
      <c r="M105" s="850">
        <v>15</v>
      </c>
      <c r="N105" s="851" t="s">
        <v>439</v>
      </c>
      <c r="O105" s="755" t="s">
        <v>438</v>
      </c>
    </row>
    <row r="106" spans="2:17" x14ac:dyDescent="0.3">
      <c r="B106" s="766"/>
      <c r="C106" s="835"/>
      <c r="D106" s="836"/>
      <c r="E106" s="767"/>
      <c r="F106" s="767"/>
      <c r="G106" s="766" t="s">
        <v>495</v>
      </c>
      <c r="H106" s="768"/>
      <c r="I106" s="768"/>
      <c r="J106" s="924"/>
      <c r="K106" s="835"/>
      <c r="L106" s="817" t="s">
        <v>436</v>
      </c>
      <c r="M106" s="850">
        <v>0</v>
      </c>
      <c r="N106" s="851" t="s">
        <v>439</v>
      </c>
      <c r="O106" s="755"/>
    </row>
    <row r="107" spans="2:17" x14ac:dyDescent="0.3">
      <c r="B107" s="766"/>
      <c r="C107" s="835"/>
      <c r="D107" s="836"/>
      <c r="E107" s="767"/>
      <c r="F107" s="767"/>
      <c r="G107" s="768"/>
      <c r="H107" s="768"/>
      <c r="I107" s="768"/>
      <c r="J107" s="924"/>
      <c r="K107" s="835"/>
      <c r="L107" s="817" t="s">
        <v>434</v>
      </c>
      <c r="M107" s="850">
        <v>0</v>
      </c>
      <c r="N107" s="851" t="s">
        <v>439</v>
      </c>
      <c r="O107" s="755"/>
    </row>
    <row r="108" spans="2:17" x14ac:dyDescent="0.3">
      <c r="B108" s="793"/>
      <c r="C108" s="838"/>
      <c r="D108" s="839"/>
      <c r="E108" s="794"/>
      <c r="F108" s="794"/>
      <c r="G108" s="795"/>
      <c r="H108" s="795"/>
      <c r="I108" s="795"/>
      <c r="J108" s="931"/>
      <c r="K108" s="838"/>
      <c r="L108" s="839"/>
      <c r="M108" s="838"/>
      <c r="N108" s="839"/>
      <c r="O108" s="795"/>
    </row>
    <row r="109" spans="2:17" x14ac:dyDescent="0.3">
      <c r="B109" s="801">
        <v>12</v>
      </c>
      <c r="C109" s="880" t="s">
        <v>498</v>
      </c>
      <c r="D109" s="890"/>
      <c r="E109" s="804">
        <v>1300</v>
      </c>
      <c r="F109" s="801" t="s">
        <v>499</v>
      </c>
      <c r="G109" s="801" t="s">
        <v>504</v>
      </c>
      <c r="H109" s="801" t="s">
        <v>501</v>
      </c>
      <c r="I109" s="802" t="s">
        <v>336</v>
      </c>
      <c r="J109" s="932">
        <f>SUM(J110:J111)</f>
        <v>4029679000</v>
      </c>
      <c r="K109" s="840"/>
      <c r="L109" s="815" t="s">
        <v>447</v>
      </c>
      <c r="M109" s="848">
        <f>958+2756</f>
        <v>3714</v>
      </c>
      <c r="N109" s="849" t="s">
        <v>413</v>
      </c>
      <c r="O109" s="752" t="s">
        <v>444</v>
      </c>
    </row>
    <row r="110" spans="2:17" x14ac:dyDescent="0.3">
      <c r="B110" s="766"/>
      <c r="C110" s="835"/>
      <c r="D110" s="836"/>
      <c r="E110" s="767"/>
      <c r="F110" s="766" t="s">
        <v>500</v>
      </c>
      <c r="G110" s="766" t="s">
        <v>502</v>
      </c>
      <c r="H110" s="768"/>
      <c r="I110" s="768"/>
      <c r="J110" s="957">
        <f>934050000+34000000</f>
        <v>968050000</v>
      </c>
      <c r="K110" s="841"/>
      <c r="L110" s="847" t="s">
        <v>445</v>
      </c>
      <c r="M110" s="868">
        <v>5</v>
      </c>
      <c r="N110" s="821" t="s">
        <v>439</v>
      </c>
      <c r="O110" s="780" t="s">
        <v>444</v>
      </c>
    </row>
    <row r="111" spans="2:17" x14ac:dyDescent="0.3">
      <c r="B111" s="766"/>
      <c r="C111" s="835"/>
      <c r="D111" s="836"/>
      <c r="E111" s="767"/>
      <c r="F111" s="767"/>
      <c r="G111" s="766" t="s">
        <v>503</v>
      </c>
      <c r="H111" s="768"/>
      <c r="I111" s="768"/>
      <c r="J111" s="934">
        <f>3000000000+61629000</f>
        <v>3061629000</v>
      </c>
      <c r="K111" s="843"/>
      <c r="L111" s="823" t="s">
        <v>442</v>
      </c>
      <c r="M111" s="852">
        <f>10223+66</f>
        <v>10289</v>
      </c>
      <c r="N111" s="853" t="s">
        <v>413</v>
      </c>
      <c r="O111" s="785" t="s">
        <v>438</v>
      </c>
    </row>
    <row r="112" spans="2:17" x14ac:dyDescent="0.3">
      <c r="B112" s="766"/>
      <c r="C112" s="835"/>
      <c r="D112" s="836"/>
      <c r="E112" s="767"/>
      <c r="F112" s="767"/>
      <c r="G112" s="766" t="s">
        <v>505</v>
      </c>
      <c r="H112" s="768"/>
      <c r="I112" s="768"/>
      <c r="J112" s="924"/>
      <c r="K112" s="835"/>
      <c r="L112" s="817" t="s">
        <v>440</v>
      </c>
      <c r="M112" s="850">
        <v>15</v>
      </c>
      <c r="N112" s="851" t="s">
        <v>439</v>
      </c>
      <c r="O112" s="755" t="s">
        <v>438</v>
      </c>
    </row>
    <row r="113" spans="2:15" x14ac:dyDescent="0.3">
      <c r="B113" s="766"/>
      <c r="C113" s="835"/>
      <c r="D113" s="836"/>
      <c r="E113" s="767"/>
      <c r="F113" s="767"/>
      <c r="G113" s="766" t="s">
        <v>506</v>
      </c>
      <c r="H113" s="768"/>
      <c r="I113" s="768"/>
      <c r="J113" s="924"/>
      <c r="K113" s="835"/>
      <c r="L113" s="817" t="s">
        <v>436</v>
      </c>
      <c r="M113" s="850">
        <v>7</v>
      </c>
      <c r="N113" s="851" t="s">
        <v>439</v>
      </c>
      <c r="O113" s="777" t="s">
        <v>423</v>
      </c>
    </row>
    <row r="114" spans="2:15" x14ac:dyDescent="0.3">
      <c r="B114" s="766"/>
      <c r="C114" s="835"/>
      <c r="D114" s="836"/>
      <c r="E114" s="767"/>
      <c r="F114" s="767"/>
      <c r="G114" s="768"/>
      <c r="H114" s="768"/>
      <c r="I114" s="768"/>
      <c r="J114" s="924"/>
      <c r="K114" s="835"/>
      <c r="L114" s="817" t="s">
        <v>434</v>
      </c>
      <c r="M114" s="850">
        <v>7</v>
      </c>
      <c r="N114" s="851" t="s">
        <v>439</v>
      </c>
      <c r="O114" s="777" t="s">
        <v>423</v>
      </c>
    </row>
    <row r="115" spans="2:15" x14ac:dyDescent="0.3">
      <c r="B115" s="805"/>
      <c r="C115" s="841"/>
      <c r="D115" s="842"/>
      <c r="E115" s="806"/>
      <c r="F115" s="806"/>
      <c r="G115" s="779"/>
      <c r="H115" s="779"/>
      <c r="I115" s="779"/>
      <c r="J115" s="933"/>
      <c r="K115" s="841"/>
      <c r="L115" s="842"/>
      <c r="M115" s="841"/>
      <c r="N115" s="842"/>
      <c r="O115" s="779"/>
    </row>
    <row r="116" spans="2:15" x14ac:dyDescent="0.3">
      <c r="B116" s="796">
        <v>13</v>
      </c>
      <c r="C116" s="886" t="s">
        <v>549</v>
      </c>
      <c r="D116" s="891"/>
      <c r="E116" s="798">
        <v>1058</v>
      </c>
      <c r="F116" s="799" t="s">
        <v>550</v>
      </c>
      <c r="G116" s="800" t="s">
        <v>546</v>
      </c>
      <c r="H116" s="800" t="s">
        <v>545</v>
      </c>
      <c r="I116" s="807" t="s">
        <v>336</v>
      </c>
      <c r="J116" s="934">
        <f>6633197000+250000000+10000000000</f>
        <v>16883197000</v>
      </c>
      <c r="K116" s="843"/>
      <c r="L116" s="823" t="s">
        <v>447</v>
      </c>
      <c r="M116" s="852">
        <f>2200+210+160+96+185+150</f>
        <v>3001</v>
      </c>
      <c r="N116" s="853" t="s">
        <v>413</v>
      </c>
      <c r="O116" s="785" t="s">
        <v>444</v>
      </c>
    </row>
    <row r="117" spans="2:15" x14ac:dyDescent="0.3">
      <c r="B117" s="766"/>
      <c r="C117" s="835"/>
      <c r="D117" s="836"/>
      <c r="E117" s="767"/>
      <c r="F117" s="771" t="s">
        <v>524</v>
      </c>
      <c r="G117" s="772" t="s">
        <v>547</v>
      </c>
      <c r="H117" s="768"/>
      <c r="I117" s="768"/>
      <c r="J117" s="958">
        <f>J116-J118</f>
        <v>13944826000</v>
      </c>
      <c r="K117" s="838"/>
      <c r="L117" s="908" t="s">
        <v>445</v>
      </c>
      <c r="M117" s="909">
        <v>2</v>
      </c>
      <c r="N117" s="819" t="s">
        <v>439</v>
      </c>
      <c r="O117" s="783" t="s">
        <v>444</v>
      </c>
    </row>
    <row r="118" spans="2:15" x14ac:dyDescent="0.3">
      <c r="B118" s="766"/>
      <c r="C118" s="835"/>
      <c r="D118" s="836"/>
      <c r="E118" s="767"/>
      <c r="F118" s="767"/>
      <c r="G118" s="772" t="s">
        <v>548</v>
      </c>
      <c r="H118" s="768"/>
      <c r="I118" s="768"/>
      <c r="J118" s="932">
        <f>3000000000-61629000</f>
        <v>2938371000</v>
      </c>
      <c r="K118" s="840"/>
      <c r="L118" s="815" t="s">
        <v>442</v>
      </c>
      <c r="M118" s="848">
        <v>1565</v>
      </c>
      <c r="N118" s="849" t="s">
        <v>413</v>
      </c>
      <c r="O118" s="752" t="s">
        <v>438</v>
      </c>
    </row>
    <row r="119" spans="2:15" x14ac:dyDescent="0.3">
      <c r="B119" s="766"/>
      <c r="C119" s="835"/>
      <c r="D119" s="836"/>
      <c r="E119" s="767"/>
      <c r="F119" s="767"/>
      <c r="G119" s="772" t="s">
        <v>551</v>
      </c>
      <c r="H119" s="768"/>
      <c r="I119" s="768"/>
      <c r="J119" s="924"/>
      <c r="K119" s="835"/>
      <c r="L119" s="817" t="s">
        <v>440</v>
      </c>
      <c r="M119" s="850">
        <v>7</v>
      </c>
      <c r="N119" s="851" t="s">
        <v>439</v>
      </c>
      <c r="O119" s="755" t="s">
        <v>438</v>
      </c>
    </row>
    <row r="120" spans="2:15" x14ac:dyDescent="0.3">
      <c r="B120" s="766"/>
      <c r="C120" s="835"/>
      <c r="D120" s="836"/>
      <c r="E120" s="767"/>
      <c r="F120" s="767"/>
      <c r="G120" s="772" t="s">
        <v>552</v>
      </c>
      <c r="H120" s="768"/>
      <c r="I120" s="768"/>
      <c r="J120" s="924"/>
      <c r="K120" s="835"/>
      <c r="L120" s="817" t="s">
        <v>436</v>
      </c>
      <c r="M120" s="850">
        <v>9</v>
      </c>
      <c r="N120" s="851" t="s">
        <v>439</v>
      </c>
      <c r="O120" s="756" t="s">
        <v>423</v>
      </c>
    </row>
    <row r="121" spans="2:15" x14ac:dyDescent="0.3">
      <c r="B121" s="766"/>
      <c r="C121" s="835"/>
      <c r="D121" s="836"/>
      <c r="E121" s="767"/>
      <c r="F121" s="767"/>
      <c r="G121" s="772" t="s">
        <v>553</v>
      </c>
      <c r="H121" s="768"/>
      <c r="I121" s="768"/>
      <c r="J121" s="924"/>
      <c r="K121" s="835"/>
      <c r="L121" s="817" t="s">
        <v>434</v>
      </c>
      <c r="M121" s="850">
        <v>9</v>
      </c>
      <c r="N121" s="851" t="s">
        <v>439</v>
      </c>
      <c r="O121" s="756" t="s">
        <v>423</v>
      </c>
    </row>
    <row r="122" spans="2:15" x14ac:dyDescent="0.3">
      <c r="B122" s="766"/>
      <c r="C122" s="835"/>
      <c r="D122" s="836"/>
      <c r="E122" s="767"/>
      <c r="F122" s="767"/>
      <c r="G122" s="772" t="s">
        <v>554</v>
      </c>
      <c r="H122" s="768"/>
      <c r="I122" s="768"/>
      <c r="J122" s="924"/>
      <c r="K122" s="835"/>
      <c r="L122" s="836"/>
      <c r="M122" s="835"/>
      <c r="N122" s="836"/>
      <c r="O122" s="768"/>
    </row>
    <row r="123" spans="2:15" x14ac:dyDescent="0.3">
      <c r="B123" s="793"/>
      <c r="C123" s="838"/>
      <c r="D123" s="839"/>
      <c r="E123" s="794"/>
      <c r="F123" s="794"/>
      <c r="G123" s="810"/>
      <c r="H123" s="795"/>
      <c r="I123" s="795"/>
      <c r="J123" s="931"/>
      <c r="K123" s="838"/>
      <c r="L123" s="839"/>
      <c r="M123" s="838"/>
      <c r="N123" s="839"/>
      <c r="O123" s="795"/>
    </row>
    <row r="124" spans="2:15" x14ac:dyDescent="0.3">
      <c r="B124" s="801">
        <v>14</v>
      </c>
      <c r="C124" s="840" t="s">
        <v>409</v>
      </c>
      <c r="D124" s="890"/>
      <c r="E124" s="804">
        <v>1273</v>
      </c>
      <c r="F124" s="811" t="s">
        <v>560</v>
      </c>
      <c r="G124" s="812" t="s">
        <v>556</v>
      </c>
      <c r="H124" s="812" t="s">
        <v>555</v>
      </c>
      <c r="I124" s="812" t="s">
        <v>337</v>
      </c>
      <c r="J124" s="932">
        <v>4527984000</v>
      </c>
      <c r="K124" s="840"/>
      <c r="L124" s="815" t="s">
        <v>447</v>
      </c>
      <c r="M124" s="848">
        <v>1024</v>
      </c>
      <c r="N124" s="849" t="s">
        <v>413</v>
      </c>
      <c r="O124" s="752" t="s">
        <v>444</v>
      </c>
    </row>
    <row r="125" spans="2:15" x14ac:dyDescent="0.3">
      <c r="B125" s="770"/>
      <c r="C125" s="835"/>
      <c r="D125" s="836"/>
      <c r="E125" s="768"/>
      <c r="F125" s="768"/>
      <c r="G125" s="772" t="s">
        <v>557</v>
      </c>
      <c r="H125" s="768"/>
      <c r="I125" s="768"/>
      <c r="J125" s="957">
        <f>J124-J126</f>
        <v>1466355000</v>
      </c>
      <c r="K125" s="841"/>
      <c r="L125" s="847" t="s">
        <v>445</v>
      </c>
      <c r="M125" s="868">
        <v>3</v>
      </c>
      <c r="N125" s="821" t="s">
        <v>439</v>
      </c>
      <c r="O125" s="780" t="s">
        <v>444</v>
      </c>
    </row>
    <row r="126" spans="2:15" x14ac:dyDescent="0.3">
      <c r="B126" s="770"/>
      <c r="C126" s="835"/>
      <c r="D126" s="836"/>
      <c r="E126" s="768"/>
      <c r="F126" s="768"/>
      <c r="G126" s="772" t="s">
        <v>558</v>
      </c>
      <c r="H126" s="768"/>
      <c r="I126" s="768"/>
      <c r="J126" s="934">
        <f>3000000000+61629000</f>
        <v>3061629000</v>
      </c>
      <c r="K126" s="843"/>
      <c r="L126" s="823" t="s">
        <v>442</v>
      </c>
      <c r="M126" s="852">
        <v>2015</v>
      </c>
      <c r="N126" s="853" t="s">
        <v>413</v>
      </c>
      <c r="O126" s="785" t="s">
        <v>438</v>
      </c>
    </row>
    <row r="127" spans="2:15" x14ac:dyDescent="0.3">
      <c r="B127" s="770"/>
      <c r="C127" s="835"/>
      <c r="D127" s="836"/>
      <c r="E127" s="768"/>
      <c r="F127" s="768"/>
      <c r="G127" s="772" t="s">
        <v>559</v>
      </c>
      <c r="H127" s="768"/>
      <c r="I127" s="768"/>
      <c r="J127" s="924"/>
      <c r="K127" s="835"/>
      <c r="L127" s="817" t="s">
        <v>440</v>
      </c>
      <c r="M127" s="850">
        <v>5</v>
      </c>
      <c r="N127" s="851" t="s">
        <v>439</v>
      </c>
      <c r="O127" s="755" t="s">
        <v>438</v>
      </c>
    </row>
    <row r="128" spans="2:15" x14ac:dyDescent="0.3">
      <c r="B128" s="770"/>
      <c r="C128" s="835"/>
      <c r="D128" s="836"/>
      <c r="E128" s="768"/>
      <c r="F128" s="768"/>
      <c r="G128" s="772"/>
      <c r="H128" s="768"/>
      <c r="I128" s="768"/>
      <c r="J128" s="924"/>
      <c r="K128" s="835"/>
      <c r="L128" s="817" t="s">
        <v>436</v>
      </c>
      <c r="M128" s="850">
        <v>4</v>
      </c>
      <c r="N128" s="851" t="s">
        <v>439</v>
      </c>
      <c r="O128" s="777" t="s">
        <v>575</v>
      </c>
    </row>
    <row r="129" spans="2:15" x14ac:dyDescent="0.3">
      <c r="B129" s="770"/>
      <c r="C129" s="835"/>
      <c r="D129" s="836"/>
      <c r="E129" s="768"/>
      <c r="F129" s="768"/>
      <c r="G129" s="772"/>
      <c r="H129" s="768"/>
      <c r="I129" s="768"/>
      <c r="J129" s="924"/>
      <c r="K129" s="835"/>
      <c r="L129" s="817" t="s">
        <v>434</v>
      </c>
      <c r="M129" s="850">
        <v>4</v>
      </c>
      <c r="N129" s="851" t="s">
        <v>439</v>
      </c>
      <c r="O129" s="777" t="s">
        <v>575</v>
      </c>
    </row>
    <row r="130" spans="2:15" x14ac:dyDescent="0.3">
      <c r="B130" s="813"/>
      <c r="C130" s="838"/>
      <c r="D130" s="839"/>
      <c r="E130" s="795"/>
      <c r="F130" s="795"/>
      <c r="G130" s="810"/>
      <c r="H130" s="795"/>
      <c r="I130" s="795"/>
      <c r="J130" s="931"/>
      <c r="K130" s="838"/>
      <c r="L130" s="908"/>
      <c r="M130" s="909"/>
      <c r="N130" s="819"/>
      <c r="O130" s="910"/>
    </row>
    <row r="131" spans="2:15" x14ac:dyDescent="0.3">
      <c r="B131" s="813"/>
      <c r="C131" s="838"/>
      <c r="D131" s="839"/>
      <c r="E131" s="795"/>
      <c r="F131" s="795"/>
      <c r="G131" s="810"/>
      <c r="H131" s="795"/>
      <c r="I131" s="795"/>
      <c r="J131" s="931"/>
      <c r="K131" s="838"/>
      <c r="L131" s="908"/>
      <c r="M131" s="909"/>
      <c r="N131" s="819"/>
      <c r="O131" s="910"/>
    </row>
    <row r="132" spans="2:15" x14ac:dyDescent="0.3">
      <c r="B132" s="778"/>
      <c r="C132" s="841"/>
      <c r="D132" s="842"/>
      <c r="E132" s="779"/>
      <c r="F132" s="779"/>
      <c r="G132" s="779"/>
      <c r="H132" s="779"/>
      <c r="I132" s="779"/>
      <c r="J132" s="933"/>
      <c r="K132" s="841"/>
      <c r="L132" s="842"/>
      <c r="M132" s="841"/>
      <c r="N132" s="842"/>
      <c r="O132" s="779"/>
    </row>
    <row r="133" spans="2:15" x14ac:dyDescent="0.3">
      <c r="B133" s="796">
        <v>15</v>
      </c>
      <c r="C133" s="885" t="s">
        <v>530</v>
      </c>
      <c r="D133" s="891"/>
      <c r="E133" s="797">
        <v>1140</v>
      </c>
      <c r="F133" s="800" t="s">
        <v>578</v>
      </c>
      <c r="G133" s="800" t="s">
        <v>571</v>
      </c>
      <c r="H133" s="800" t="s">
        <v>563</v>
      </c>
      <c r="I133" s="800" t="s">
        <v>337</v>
      </c>
      <c r="J133" s="934">
        <f>9644446000+7000000000</f>
        <v>16644446000</v>
      </c>
      <c r="K133" s="843"/>
      <c r="L133" s="823" t="s">
        <v>447</v>
      </c>
      <c r="M133" s="843">
        <v>3306</v>
      </c>
      <c r="N133" s="853" t="s">
        <v>413</v>
      </c>
      <c r="O133" s="785" t="s">
        <v>444</v>
      </c>
    </row>
    <row r="134" spans="2:15" x14ac:dyDescent="0.3">
      <c r="B134" s="770"/>
      <c r="C134" s="835"/>
      <c r="D134" s="836"/>
      <c r="E134" s="768"/>
      <c r="F134" s="772" t="s">
        <v>577</v>
      </c>
      <c r="G134" s="772" t="s">
        <v>572</v>
      </c>
      <c r="H134" s="768"/>
      <c r="I134" s="768"/>
      <c r="J134" s="958">
        <f>J133-J135</f>
        <v>13582817000</v>
      </c>
      <c r="K134" s="838"/>
      <c r="L134" s="908" t="s">
        <v>445</v>
      </c>
      <c r="M134" s="909">
        <v>5</v>
      </c>
      <c r="N134" s="819" t="s">
        <v>439</v>
      </c>
      <c r="O134" s="783" t="s">
        <v>444</v>
      </c>
    </row>
    <row r="135" spans="2:15" x14ac:dyDescent="0.3">
      <c r="B135" s="770"/>
      <c r="C135" s="835"/>
      <c r="D135" s="836"/>
      <c r="E135" s="768"/>
      <c r="F135" s="772" t="s">
        <v>576</v>
      </c>
      <c r="G135" s="772" t="s">
        <v>573</v>
      </c>
      <c r="H135" s="768"/>
      <c r="I135" s="768"/>
      <c r="J135" s="932">
        <f>3000000000+61629000</f>
        <v>3061629000</v>
      </c>
      <c r="K135" s="840"/>
      <c r="L135" s="815" t="s">
        <v>442</v>
      </c>
      <c r="M135" s="848">
        <v>3902</v>
      </c>
      <c r="N135" s="849" t="s">
        <v>413</v>
      </c>
      <c r="O135" s="752" t="s">
        <v>438</v>
      </c>
    </row>
    <row r="136" spans="2:15" x14ac:dyDescent="0.3">
      <c r="B136" s="770"/>
      <c r="C136" s="835"/>
      <c r="D136" s="836"/>
      <c r="E136" s="768"/>
      <c r="F136" s="772"/>
      <c r="G136" s="772" t="s">
        <v>574</v>
      </c>
      <c r="H136" s="768"/>
      <c r="I136" s="768"/>
      <c r="J136" s="924"/>
      <c r="K136" s="835"/>
      <c r="L136" s="817" t="s">
        <v>440</v>
      </c>
      <c r="M136" s="850">
        <v>13</v>
      </c>
      <c r="N136" s="851" t="s">
        <v>439</v>
      </c>
      <c r="O136" s="755" t="s">
        <v>438</v>
      </c>
    </row>
    <row r="137" spans="2:15" x14ac:dyDescent="0.3">
      <c r="B137" s="770"/>
      <c r="C137" s="835"/>
      <c r="D137" s="836"/>
      <c r="E137" s="768"/>
      <c r="F137" s="768"/>
      <c r="G137" s="772" t="s">
        <v>563</v>
      </c>
      <c r="H137" s="768"/>
      <c r="I137" s="768"/>
      <c r="J137" s="924"/>
      <c r="K137" s="835"/>
      <c r="L137" s="817" t="s">
        <v>436</v>
      </c>
      <c r="M137" s="850">
        <v>6</v>
      </c>
      <c r="N137" s="851" t="s">
        <v>439</v>
      </c>
      <c r="O137" s="777" t="s">
        <v>575</v>
      </c>
    </row>
    <row r="138" spans="2:15" x14ac:dyDescent="0.3">
      <c r="B138" s="770"/>
      <c r="C138" s="835"/>
      <c r="D138" s="836"/>
      <c r="E138" s="768"/>
      <c r="F138" s="768"/>
      <c r="G138" s="772" t="s">
        <v>567</v>
      </c>
      <c r="H138" s="768"/>
      <c r="I138" s="768"/>
      <c r="J138" s="924"/>
      <c r="K138" s="835"/>
      <c r="L138" s="817" t="s">
        <v>434</v>
      </c>
      <c r="M138" s="850">
        <v>6</v>
      </c>
      <c r="N138" s="851" t="s">
        <v>439</v>
      </c>
      <c r="O138" s="777" t="s">
        <v>575</v>
      </c>
    </row>
    <row r="139" spans="2:15" x14ac:dyDescent="0.3">
      <c r="B139" s="813"/>
      <c r="C139" s="838"/>
      <c r="D139" s="839"/>
      <c r="E139" s="795"/>
      <c r="F139" s="795"/>
      <c r="G139" s="795"/>
      <c r="H139" s="795"/>
      <c r="I139" s="795"/>
      <c r="J139" s="931"/>
      <c r="K139" s="838"/>
      <c r="L139" s="839"/>
      <c r="M139" s="838"/>
      <c r="N139" s="839"/>
      <c r="O139" s="795"/>
    </row>
    <row r="140" spans="2:15" x14ac:dyDescent="0.3">
      <c r="B140" s="801">
        <v>16</v>
      </c>
      <c r="C140" s="880" t="s">
        <v>531</v>
      </c>
      <c r="D140" s="890"/>
      <c r="E140" s="803">
        <v>1217</v>
      </c>
      <c r="F140" s="811" t="s">
        <v>561</v>
      </c>
      <c r="G140" s="812" t="s">
        <v>562</v>
      </c>
      <c r="H140" s="812" t="s">
        <v>391</v>
      </c>
      <c r="I140" s="812" t="s">
        <v>337</v>
      </c>
      <c r="J140" s="932">
        <v>7527984000</v>
      </c>
      <c r="K140" s="840"/>
      <c r="L140" s="815" t="s">
        <v>447</v>
      </c>
      <c r="M140" s="848">
        <v>4719</v>
      </c>
      <c r="N140" s="849" t="s">
        <v>413</v>
      </c>
      <c r="O140" s="752" t="s">
        <v>444</v>
      </c>
    </row>
    <row r="141" spans="2:15" x14ac:dyDescent="0.3">
      <c r="B141" s="770"/>
      <c r="C141" s="835"/>
      <c r="D141" s="836"/>
      <c r="E141" s="768"/>
      <c r="F141" s="768"/>
      <c r="G141" s="772" t="s">
        <v>563</v>
      </c>
      <c r="H141" s="768"/>
      <c r="I141" s="768"/>
      <c r="J141" s="957">
        <f>J140-J142</f>
        <v>5872454000</v>
      </c>
      <c r="K141" s="841"/>
      <c r="L141" s="847" t="s">
        <v>445</v>
      </c>
      <c r="M141" s="868">
        <v>2</v>
      </c>
      <c r="N141" s="821" t="s">
        <v>439</v>
      </c>
      <c r="O141" s="780" t="s">
        <v>444</v>
      </c>
    </row>
    <row r="142" spans="2:15" x14ac:dyDescent="0.3">
      <c r="B142" s="770"/>
      <c r="C142" s="835"/>
      <c r="D142" s="836"/>
      <c r="E142" s="768"/>
      <c r="F142" s="768"/>
      <c r="G142" s="768"/>
      <c r="H142" s="768"/>
      <c r="I142" s="768"/>
      <c r="J142" s="934">
        <f>1655530000</f>
        <v>1655530000</v>
      </c>
      <c r="K142" s="843"/>
      <c r="L142" s="823" t="s">
        <v>442</v>
      </c>
      <c r="M142" s="852">
        <v>2372</v>
      </c>
      <c r="N142" s="853" t="s">
        <v>413</v>
      </c>
      <c r="O142" s="785" t="s">
        <v>438</v>
      </c>
    </row>
    <row r="143" spans="2:15" x14ac:dyDescent="0.3">
      <c r="B143" s="770"/>
      <c r="C143" s="835"/>
      <c r="D143" s="836"/>
      <c r="E143" s="768"/>
      <c r="F143" s="768"/>
      <c r="G143" s="768"/>
      <c r="H143" s="768"/>
      <c r="I143" s="768"/>
      <c r="J143" s="924"/>
      <c r="K143" s="835"/>
      <c r="L143" s="817" t="s">
        <v>440</v>
      </c>
      <c r="M143" s="850">
        <v>15</v>
      </c>
      <c r="N143" s="851" t="s">
        <v>439</v>
      </c>
      <c r="O143" s="755" t="s">
        <v>438</v>
      </c>
    </row>
    <row r="144" spans="2:15" x14ac:dyDescent="0.3">
      <c r="B144" s="770"/>
      <c r="C144" s="835"/>
      <c r="D144" s="836"/>
      <c r="E144" s="768"/>
      <c r="F144" s="768"/>
      <c r="G144" s="768"/>
      <c r="H144" s="768"/>
      <c r="I144" s="768"/>
      <c r="J144" s="924"/>
      <c r="K144" s="835"/>
      <c r="L144" s="817" t="s">
        <v>436</v>
      </c>
      <c r="M144" s="850">
        <v>4</v>
      </c>
      <c r="N144" s="851" t="s">
        <v>439</v>
      </c>
      <c r="O144" s="777" t="s">
        <v>423</v>
      </c>
    </row>
    <row r="145" spans="2:15" x14ac:dyDescent="0.3">
      <c r="B145" s="770"/>
      <c r="C145" s="835"/>
      <c r="D145" s="836"/>
      <c r="E145" s="768"/>
      <c r="F145" s="768"/>
      <c r="G145" s="768"/>
      <c r="H145" s="768"/>
      <c r="I145" s="768"/>
      <c r="J145" s="924"/>
      <c r="K145" s="835"/>
      <c r="L145" s="817" t="s">
        <v>434</v>
      </c>
      <c r="M145" s="850">
        <v>4</v>
      </c>
      <c r="N145" s="851" t="s">
        <v>439</v>
      </c>
      <c r="O145" s="777" t="s">
        <v>423</v>
      </c>
    </row>
    <row r="146" spans="2:15" x14ac:dyDescent="0.3">
      <c r="B146" s="778"/>
      <c r="C146" s="841"/>
      <c r="D146" s="842"/>
      <c r="E146" s="779"/>
      <c r="F146" s="779"/>
      <c r="G146" s="779"/>
      <c r="H146" s="779"/>
      <c r="I146" s="779"/>
      <c r="J146" s="933"/>
      <c r="K146" s="841"/>
      <c r="L146" s="842"/>
      <c r="M146" s="841"/>
      <c r="N146" s="842"/>
      <c r="O146" s="779"/>
    </row>
    <row r="147" spans="2:15" x14ac:dyDescent="0.3">
      <c r="B147" s="796">
        <v>17</v>
      </c>
      <c r="C147" s="885" t="s">
        <v>532</v>
      </c>
      <c r="D147" s="891"/>
      <c r="E147" s="797">
        <v>1200</v>
      </c>
      <c r="F147" s="800" t="s">
        <v>569</v>
      </c>
      <c r="G147" s="800" t="s">
        <v>532</v>
      </c>
      <c r="H147" s="800" t="s">
        <v>532</v>
      </c>
      <c r="I147" s="800" t="s">
        <v>337</v>
      </c>
      <c r="J147" s="934">
        <v>5003000000</v>
      </c>
      <c r="K147" s="843"/>
      <c r="L147" s="823" t="s">
        <v>447</v>
      </c>
      <c r="M147" s="852">
        <v>2104</v>
      </c>
      <c r="N147" s="853" t="s">
        <v>413</v>
      </c>
      <c r="O147" s="785" t="s">
        <v>444</v>
      </c>
    </row>
    <row r="148" spans="2:15" ht="16.2" x14ac:dyDescent="0.3">
      <c r="B148" s="770"/>
      <c r="C148" s="835"/>
      <c r="D148" s="836"/>
      <c r="E148" s="768"/>
      <c r="F148" s="772" t="s">
        <v>570</v>
      </c>
      <c r="G148" s="772" t="s">
        <v>568</v>
      </c>
      <c r="H148" s="768"/>
      <c r="I148" s="768"/>
      <c r="J148" s="958">
        <f>J147-J149</f>
        <v>3750480000</v>
      </c>
      <c r="K148" s="838"/>
      <c r="L148" s="908" t="s">
        <v>445</v>
      </c>
      <c r="M148" s="909">
        <v>3</v>
      </c>
      <c r="N148" s="819" t="s">
        <v>439</v>
      </c>
      <c r="O148" s="783" t="s">
        <v>444</v>
      </c>
    </row>
    <row r="149" spans="2:15" x14ac:dyDescent="0.3">
      <c r="B149" s="770"/>
      <c r="C149" s="835"/>
      <c r="D149" s="836"/>
      <c r="E149" s="768"/>
      <c r="F149" s="772"/>
      <c r="G149" s="772" t="s">
        <v>565</v>
      </c>
      <c r="H149" s="768"/>
      <c r="I149" s="768"/>
      <c r="J149" s="932">
        <v>1252520000</v>
      </c>
      <c r="K149" s="840"/>
      <c r="L149" s="815" t="s">
        <v>442</v>
      </c>
      <c r="M149" s="848">
        <v>2991.8</v>
      </c>
      <c r="N149" s="849" t="s">
        <v>413</v>
      </c>
      <c r="O149" s="752" t="s">
        <v>438</v>
      </c>
    </row>
    <row r="150" spans="2:15" x14ac:dyDescent="0.3">
      <c r="B150" s="770"/>
      <c r="C150" s="835"/>
      <c r="D150" s="836"/>
      <c r="E150" s="768"/>
      <c r="F150" s="772"/>
      <c r="G150" s="772" t="s">
        <v>566</v>
      </c>
      <c r="H150" s="768"/>
      <c r="I150" s="768"/>
      <c r="J150" s="924"/>
      <c r="K150" s="835"/>
      <c r="L150" s="817" t="s">
        <v>440</v>
      </c>
      <c r="M150" s="850">
        <v>8</v>
      </c>
      <c r="N150" s="851" t="s">
        <v>439</v>
      </c>
      <c r="O150" s="755" t="s">
        <v>438</v>
      </c>
    </row>
    <row r="151" spans="2:15" x14ac:dyDescent="0.3">
      <c r="B151" s="770"/>
      <c r="C151" s="835"/>
      <c r="D151" s="836"/>
      <c r="E151" s="768"/>
      <c r="F151" s="772"/>
      <c r="G151" s="772" t="s">
        <v>567</v>
      </c>
      <c r="H151" s="768"/>
      <c r="I151" s="768"/>
      <c r="J151" s="924"/>
      <c r="K151" s="835"/>
      <c r="L151" s="817" t="s">
        <v>436</v>
      </c>
      <c r="M151" s="850">
        <v>5</v>
      </c>
      <c r="N151" s="851" t="s">
        <v>439</v>
      </c>
      <c r="O151" s="777" t="s">
        <v>575</v>
      </c>
    </row>
    <row r="152" spans="2:15" x14ac:dyDescent="0.3">
      <c r="B152" s="770"/>
      <c r="C152" s="835"/>
      <c r="D152" s="836"/>
      <c r="E152" s="768"/>
      <c r="F152" s="768"/>
      <c r="G152" s="768"/>
      <c r="H152" s="768"/>
      <c r="I152" s="768"/>
      <c r="J152" s="924"/>
      <c r="K152" s="835"/>
      <c r="L152" s="817" t="s">
        <v>434</v>
      </c>
      <c r="M152" s="850">
        <v>8</v>
      </c>
      <c r="N152" s="851" t="s">
        <v>439</v>
      </c>
      <c r="O152" s="777" t="s">
        <v>575</v>
      </c>
    </row>
    <row r="153" spans="2:15" x14ac:dyDescent="0.3">
      <c r="B153" s="813"/>
      <c r="C153" s="838"/>
      <c r="D153" s="839"/>
      <c r="E153" s="795"/>
      <c r="F153" s="795"/>
      <c r="G153" s="795"/>
      <c r="H153" s="795"/>
      <c r="I153" s="795"/>
      <c r="J153" s="931"/>
      <c r="K153" s="838"/>
      <c r="L153" s="839"/>
      <c r="M153" s="838"/>
      <c r="N153" s="839"/>
      <c r="O153" s="795"/>
    </row>
    <row r="154" spans="2:15" x14ac:dyDescent="0.3">
      <c r="B154" s="801">
        <v>18</v>
      </c>
      <c r="C154" s="887" t="s">
        <v>564</v>
      </c>
      <c r="D154" s="890"/>
      <c r="E154" s="803">
        <v>1672</v>
      </c>
      <c r="F154" s="803"/>
      <c r="G154" s="812" t="s">
        <v>589</v>
      </c>
      <c r="H154" s="812" t="s">
        <v>588</v>
      </c>
      <c r="I154" s="812" t="s">
        <v>338</v>
      </c>
      <c r="J154" s="932">
        <v>7287711000</v>
      </c>
      <c r="K154" s="840"/>
      <c r="L154" s="815" t="s">
        <v>447</v>
      </c>
      <c r="M154" s="848">
        <v>2094</v>
      </c>
      <c r="N154" s="849" t="s">
        <v>413</v>
      </c>
      <c r="O154" s="752" t="s">
        <v>444</v>
      </c>
    </row>
    <row r="155" spans="2:15" x14ac:dyDescent="0.3">
      <c r="B155" s="770"/>
      <c r="C155" s="835"/>
      <c r="D155" s="836"/>
      <c r="E155" s="768"/>
      <c r="F155" s="768"/>
      <c r="G155" s="768"/>
      <c r="H155" s="768"/>
      <c r="I155" s="768"/>
      <c r="J155" s="957">
        <f>J154-J156</f>
        <v>4237711000</v>
      </c>
      <c r="K155" s="841"/>
      <c r="L155" s="847" t="s">
        <v>445</v>
      </c>
      <c r="M155" s="868">
        <v>5</v>
      </c>
      <c r="N155" s="821" t="s">
        <v>439</v>
      </c>
      <c r="O155" s="780" t="s">
        <v>444</v>
      </c>
    </row>
    <row r="156" spans="2:15" x14ac:dyDescent="0.3">
      <c r="B156" s="770"/>
      <c r="C156" s="835"/>
      <c r="D156" s="836"/>
      <c r="E156" s="768"/>
      <c r="F156" s="768"/>
      <c r="G156" s="768"/>
      <c r="H156" s="768"/>
      <c r="I156" s="768"/>
      <c r="J156" s="934">
        <v>3050000000</v>
      </c>
      <c r="K156" s="843"/>
      <c r="L156" s="823" t="s">
        <v>442</v>
      </c>
      <c r="M156" s="852">
        <v>3862</v>
      </c>
      <c r="N156" s="853" t="s">
        <v>413</v>
      </c>
      <c r="O156" s="785" t="s">
        <v>438</v>
      </c>
    </row>
    <row r="157" spans="2:15" x14ac:dyDescent="0.3">
      <c r="B157" s="770"/>
      <c r="C157" s="835"/>
      <c r="D157" s="836"/>
      <c r="E157" s="768"/>
      <c r="F157" s="768"/>
      <c r="G157" s="768"/>
      <c r="H157" s="768"/>
      <c r="I157" s="768"/>
      <c r="J157" s="924"/>
      <c r="K157" s="835"/>
      <c r="L157" s="817" t="s">
        <v>440</v>
      </c>
      <c r="M157" s="850">
        <v>8</v>
      </c>
      <c r="N157" s="851" t="s">
        <v>439</v>
      </c>
      <c r="O157" s="755" t="s">
        <v>438</v>
      </c>
    </row>
    <row r="158" spans="2:15" x14ac:dyDescent="0.3">
      <c r="B158" s="770"/>
      <c r="C158" s="835"/>
      <c r="D158" s="836"/>
      <c r="E158" s="768"/>
      <c r="F158" s="768"/>
      <c r="G158" s="768"/>
      <c r="H158" s="768"/>
      <c r="I158" s="768"/>
      <c r="J158" s="924"/>
      <c r="K158" s="835"/>
      <c r="L158" s="817" t="s">
        <v>436</v>
      </c>
      <c r="M158" s="850">
        <v>4</v>
      </c>
      <c r="N158" s="851" t="s">
        <v>439</v>
      </c>
      <c r="O158" s="777" t="s">
        <v>575</v>
      </c>
    </row>
    <row r="159" spans="2:15" x14ac:dyDescent="0.3">
      <c r="B159" s="778"/>
      <c r="C159" s="841"/>
      <c r="D159" s="842"/>
      <c r="E159" s="779"/>
      <c r="F159" s="779"/>
      <c r="G159" s="779"/>
      <c r="H159" s="779"/>
      <c r="I159" s="779"/>
      <c r="J159" s="933"/>
      <c r="K159" s="841"/>
      <c r="L159" s="847" t="s">
        <v>434</v>
      </c>
      <c r="M159" s="868">
        <v>4</v>
      </c>
      <c r="N159" s="821" t="s">
        <v>439</v>
      </c>
      <c r="O159" s="781" t="s">
        <v>575</v>
      </c>
    </row>
    <row r="161" spans="2:13" x14ac:dyDescent="0.3">
      <c r="L161" s="749" t="s">
        <v>600</v>
      </c>
    </row>
    <row r="162" spans="2:13" x14ac:dyDescent="0.3">
      <c r="L162" s="729"/>
    </row>
    <row r="163" spans="2:13" x14ac:dyDescent="0.3">
      <c r="L163" s="748" t="s">
        <v>226</v>
      </c>
    </row>
    <row r="164" spans="2:13" x14ac:dyDescent="0.3">
      <c r="L164" s="748" t="s">
        <v>408</v>
      </c>
    </row>
    <row r="165" spans="2:13" x14ac:dyDescent="0.3">
      <c r="L165" s="729"/>
    </row>
    <row r="166" spans="2:13" x14ac:dyDescent="0.3">
      <c r="L166" s="729"/>
    </row>
    <row r="167" spans="2:13" x14ac:dyDescent="0.3">
      <c r="L167" s="729"/>
    </row>
    <row r="168" spans="2:13" x14ac:dyDescent="0.3">
      <c r="L168" s="729"/>
    </row>
    <row r="169" spans="2:13" x14ac:dyDescent="0.3">
      <c r="L169" s="749" t="s">
        <v>601</v>
      </c>
    </row>
    <row r="170" spans="2:13" x14ac:dyDescent="0.3">
      <c r="L170" s="729" t="s">
        <v>228</v>
      </c>
    </row>
    <row r="171" spans="2:13" ht="31.5" customHeight="1" x14ac:dyDescent="0.5">
      <c r="B171" s="904" t="s">
        <v>590</v>
      </c>
      <c r="C171" s="904"/>
      <c r="D171" s="904"/>
      <c r="E171" s="904"/>
      <c r="F171" s="904"/>
      <c r="G171" s="904"/>
      <c r="H171" s="904"/>
      <c r="I171" s="904"/>
      <c r="J171" s="904"/>
      <c r="K171" s="904"/>
      <c r="L171" s="904"/>
      <c r="M171" s="904"/>
    </row>
    <row r="174" spans="2:13" s="896" customFormat="1" ht="22.5" customHeight="1" x14ac:dyDescent="0.25">
      <c r="B174" s="1072" t="s">
        <v>330</v>
      </c>
      <c r="C174" s="1073"/>
      <c r="D174" s="1072" t="s">
        <v>591</v>
      </c>
      <c r="E174" s="1080"/>
      <c r="F174" s="1073"/>
      <c r="G174" s="1072" t="s">
        <v>593</v>
      </c>
      <c r="H174" s="1073"/>
      <c r="I174" s="1087" t="s">
        <v>598</v>
      </c>
      <c r="J174" s="1088"/>
      <c r="K174" s="1072" t="s">
        <v>597</v>
      </c>
      <c r="L174" s="1080"/>
      <c r="M174" s="1073"/>
    </row>
    <row r="175" spans="2:13" x14ac:dyDescent="0.3">
      <c r="B175" s="897"/>
      <c r="C175" s="898"/>
      <c r="D175" s="899"/>
      <c r="E175" s="900"/>
      <c r="F175" s="898"/>
      <c r="G175" s="899"/>
      <c r="H175" s="898"/>
      <c r="I175" s="899"/>
      <c r="J175" s="936"/>
      <c r="K175" s="899"/>
      <c r="L175" s="900"/>
      <c r="M175" s="898"/>
    </row>
    <row r="176" spans="2:13" x14ac:dyDescent="0.3">
      <c r="B176" s="1078">
        <v>1</v>
      </c>
      <c r="C176" s="1079"/>
      <c r="D176" s="901" t="s">
        <v>592</v>
      </c>
      <c r="E176" s="900"/>
      <c r="F176" s="898"/>
      <c r="G176" s="899">
        <f>M154+M147+M140+M133+M124+M116+M109+M102+M95+M87+M80+M53+M46+M39+M31+M24+M17+M10</f>
        <v>110074.3</v>
      </c>
      <c r="H176" s="902" t="s">
        <v>595</v>
      </c>
      <c r="I176" s="899">
        <f>G177</f>
        <v>213</v>
      </c>
      <c r="J176" s="936" t="s">
        <v>596</v>
      </c>
      <c r="K176" s="1081">
        <f>J155+J148+J141+J134+J125+J117+J110+J103+J96+J88+J81+J54+J47+J40+J32+J25+J18+J11</f>
        <v>129972316900</v>
      </c>
      <c r="L176" s="1082"/>
      <c r="M176" s="1083"/>
    </row>
    <row r="177" spans="2:13" x14ac:dyDescent="0.3">
      <c r="B177" s="897"/>
      <c r="C177" s="898"/>
      <c r="D177" s="899"/>
      <c r="E177" s="900"/>
      <c r="F177" s="898"/>
      <c r="G177" s="903">
        <f>M155+M148+M141+M134+M125+M117+M110+M103+M96+M88+M81+M54+M47+M40+M32+M25+M18+M11</f>
        <v>213</v>
      </c>
      <c r="H177" s="898"/>
      <c r="I177" s="899"/>
      <c r="J177" s="936"/>
      <c r="K177" s="1084">
        <f>J156+J149+J142+J135+J126+J118+J111+J104+J97+J89+J82+J55+J48+J41+J33+J26+J19+J12</f>
        <v>56756421500</v>
      </c>
      <c r="L177" s="1085"/>
      <c r="M177" s="1086"/>
    </row>
    <row r="178" spans="2:13" x14ac:dyDescent="0.3">
      <c r="B178" s="1078">
        <v>2</v>
      </c>
      <c r="C178" s="1079"/>
      <c r="D178" s="901" t="s">
        <v>594</v>
      </c>
      <c r="E178" s="900"/>
      <c r="F178" s="898"/>
      <c r="G178" s="899">
        <f>M156+M149+M142+M135+M126+M118+M111+M104+M97+M89+M82+M55+M48+M41+M33+M26+M19+M12</f>
        <v>72403.5</v>
      </c>
      <c r="H178" s="902" t="s">
        <v>595</v>
      </c>
      <c r="I178" s="899">
        <f>G179</f>
        <v>201</v>
      </c>
      <c r="J178" s="936" t="s">
        <v>596</v>
      </c>
      <c r="K178" s="1081">
        <f>K177</f>
        <v>56756421500</v>
      </c>
      <c r="L178" s="1082"/>
      <c r="M178" s="1083"/>
    </row>
    <row r="179" spans="2:13" x14ac:dyDescent="0.3">
      <c r="B179" s="897"/>
      <c r="C179" s="898"/>
      <c r="D179" s="899"/>
      <c r="E179" s="900"/>
      <c r="F179" s="898"/>
      <c r="G179" s="903">
        <f>M157+M150+M143+M136+M127+M119+M112+M105+M98+M90+M83+M56+M49+M42+M34+M27+M20+M13</f>
        <v>201</v>
      </c>
      <c r="H179" s="898"/>
      <c r="I179" s="899"/>
      <c r="J179" s="936"/>
      <c r="K179" s="899"/>
      <c r="L179" s="900"/>
      <c r="M179" s="898"/>
    </row>
    <row r="180" spans="2:13" x14ac:dyDescent="0.3">
      <c r="B180" s="1074">
        <v>3</v>
      </c>
      <c r="C180" s="1075"/>
      <c r="D180" s="913" t="s">
        <v>599</v>
      </c>
      <c r="E180" s="914"/>
      <c r="F180" s="915"/>
      <c r="G180" s="913">
        <f>G178+G176</f>
        <v>182477.8</v>
      </c>
      <c r="H180" s="915" t="s">
        <v>595</v>
      </c>
      <c r="I180" s="913">
        <f>I178+I176</f>
        <v>414</v>
      </c>
      <c r="J180" s="915" t="s">
        <v>596</v>
      </c>
      <c r="K180" s="1076">
        <f>K178+K176</f>
        <v>186728738400</v>
      </c>
      <c r="L180" s="1077"/>
      <c r="M180" s="1075"/>
    </row>
    <row r="181" spans="2:13" x14ac:dyDescent="0.3">
      <c r="B181" s="897"/>
      <c r="C181" s="898"/>
      <c r="D181" s="899"/>
      <c r="E181" s="900"/>
      <c r="F181" s="898"/>
      <c r="G181" s="899"/>
      <c r="H181" s="898"/>
      <c r="I181" s="899"/>
      <c r="J181" s="936"/>
      <c r="K181" s="899"/>
      <c r="L181" s="900"/>
      <c r="M181" s="898"/>
    </row>
    <row r="185" spans="2:13" x14ac:dyDescent="0.3">
      <c r="L185" s="916" t="s">
        <v>603</v>
      </c>
    </row>
    <row r="186" spans="2:13" x14ac:dyDescent="0.3">
      <c r="L186" s="729"/>
    </row>
    <row r="187" spans="2:13" x14ac:dyDescent="0.3">
      <c r="L187" s="748" t="s">
        <v>226</v>
      </c>
    </row>
    <row r="188" spans="2:13" x14ac:dyDescent="0.3">
      <c r="L188" s="748" t="s">
        <v>408</v>
      </c>
    </row>
    <row r="189" spans="2:13" x14ac:dyDescent="0.3">
      <c r="L189" s="729"/>
    </row>
    <row r="190" spans="2:13" x14ac:dyDescent="0.3">
      <c r="L190" s="729"/>
    </row>
    <row r="191" spans="2:13" x14ac:dyDescent="0.3">
      <c r="L191" s="729"/>
    </row>
    <row r="192" spans="2:13" x14ac:dyDescent="0.3">
      <c r="L192" s="729"/>
    </row>
    <row r="193" spans="12:12" x14ac:dyDescent="0.3">
      <c r="L193" s="749" t="s">
        <v>601</v>
      </c>
    </row>
    <row r="194" spans="12:12" x14ac:dyDescent="0.3">
      <c r="L194" s="729" t="s">
        <v>228</v>
      </c>
    </row>
  </sheetData>
  <mergeCells count="21">
    <mergeCell ref="B180:C180"/>
    <mergeCell ref="K180:M180"/>
    <mergeCell ref="B178:C178"/>
    <mergeCell ref="K174:M174"/>
    <mergeCell ref="K176:M176"/>
    <mergeCell ref="K178:M178"/>
    <mergeCell ref="K177:M177"/>
    <mergeCell ref="B174:C174"/>
    <mergeCell ref="B176:C176"/>
    <mergeCell ref="D174:F174"/>
    <mergeCell ref="G174:H174"/>
    <mergeCell ref="I174:J174"/>
    <mergeCell ref="L59:L60"/>
    <mergeCell ref="G7:I7"/>
    <mergeCell ref="R7:S7"/>
    <mergeCell ref="P7:Q8"/>
    <mergeCell ref="B7:B8"/>
    <mergeCell ref="C7:D8"/>
    <mergeCell ref="K7:O7"/>
    <mergeCell ref="M8:N8"/>
    <mergeCell ref="K8:L8"/>
  </mergeCells>
  <pageMargins left="0.7" right="0" top="0.75" bottom="0.75" header="0.3" footer="0.3"/>
  <pageSetup paperSize="9" scale="86" orientation="landscape" horizontalDpi="4294967293" r:id="rId1"/>
  <colBreaks count="1" manualBreakCount="1">
    <brk id="15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B1:BP456"/>
  <sheetViews>
    <sheetView view="pageBreakPreview" topLeftCell="AH376" zoomScaleNormal="85" zoomScaleSheetLayoutView="100" workbookViewId="0">
      <selection activeCell="AS404" sqref="AS404"/>
    </sheetView>
  </sheetViews>
  <sheetFormatPr defaultRowHeight="13.2" x14ac:dyDescent="0.25"/>
  <cols>
    <col min="1" max="1" width="2.5546875" customWidth="1"/>
    <col min="2" max="2" width="0.88671875" customWidth="1"/>
    <col min="3" max="4" width="2.33203125" customWidth="1"/>
    <col min="5" max="5" width="3" customWidth="1"/>
    <col min="6" max="6" width="2.88671875" customWidth="1"/>
    <col min="7" max="7" width="2.5546875" customWidth="1"/>
    <col min="8" max="8" width="2.88671875" customWidth="1"/>
    <col min="9" max="9" width="2.109375" customWidth="1"/>
    <col min="10" max="28" width="2.88671875" hidden="1" customWidth="1"/>
    <col min="29" max="29" width="4.109375" hidden="1" customWidth="1"/>
    <col min="30" max="30" width="8.44140625" hidden="1" customWidth="1"/>
    <col min="31" max="31" width="16.88671875" customWidth="1"/>
    <col min="32" max="32" width="7.6640625" hidden="1" customWidth="1"/>
    <col min="33" max="33" width="5.88671875" customWidth="1"/>
    <col min="34" max="34" width="12.6640625" customWidth="1"/>
    <col min="35" max="35" width="14.33203125" customWidth="1"/>
    <col min="36" max="36" width="14.5546875" customWidth="1"/>
    <col min="37" max="37" width="14.88671875" customWidth="1"/>
    <col min="38" max="38" width="14" customWidth="1"/>
    <col min="39" max="39" width="15.44140625" customWidth="1"/>
    <col min="40" max="40" width="16.109375" customWidth="1"/>
    <col min="41" max="41" width="15.109375" customWidth="1"/>
    <col min="42" max="42" width="15.33203125" customWidth="1"/>
    <col min="43" max="43" width="16.109375" customWidth="1"/>
    <col min="44" max="44" width="15.33203125" customWidth="1"/>
    <col min="45" max="45" width="15" customWidth="1"/>
    <col min="46" max="46" width="6.33203125" customWidth="1"/>
    <col min="47" max="47" width="14.44140625" customWidth="1"/>
  </cols>
  <sheetData>
    <row r="1" spans="2:46" ht="24.6" hidden="1" x14ac:dyDescent="0.25">
      <c r="B1" s="1011" t="s">
        <v>63</v>
      </c>
      <c r="C1" s="1012"/>
      <c r="D1" s="1012"/>
      <c r="E1" s="1012"/>
      <c r="F1" s="1012"/>
      <c r="G1" s="1012"/>
      <c r="H1" s="1012"/>
      <c r="I1" s="1012"/>
      <c r="J1" s="1012"/>
      <c r="K1" s="1012"/>
      <c r="L1" s="1012"/>
      <c r="M1" s="1012"/>
      <c r="N1" s="1012"/>
      <c r="O1" s="1012"/>
      <c r="P1" s="1012"/>
      <c r="Q1" s="1012"/>
      <c r="R1" s="1012"/>
      <c r="S1" s="1012"/>
      <c r="T1" s="1012"/>
      <c r="U1" s="1012"/>
      <c r="V1" s="1012"/>
      <c r="W1" s="1012"/>
      <c r="X1" s="1012"/>
      <c r="Y1" s="1012"/>
      <c r="Z1" s="1012"/>
      <c r="AA1" s="1012"/>
      <c r="AB1" s="1012"/>
      <c r="AC1" s="1012"/>
      <c r="AD1" s="1012"/>
      <c r="AE1" s="1012"/>
      <c r="AF1" s="1012"/>
      <c r="AG1" s="1012"/>
      <c r="AH1" s="1012"/>
      <c r="AI1" s="1012"/>
      <c r="AJ1" s="1012"/>
      <c r="AK1" s="1012"/>
      <c r="AL1" s="1012"/>
      <c r="AM1" s="1012"/>
      <c r="AN1" s="1012"/>
      <c r="AO1" s="1012"/>
      <c r="AP1" s="1012"/>
      <c r="AQ1" s="1012"/>
      <c r="AR1" s="1012"/>
      <c r="AS1" s="1013"/>
    </row>
    <row r="2" spans="2:46" ht="15.6" hidden="1" x14ac:dyDescent="0.25">
      <c r="B2" s="25" t="s">
        <v>22</v>
      </c>
      <c r="C2" s="4" t="s">
        <v>23</v>
      </c>
      <c r="D2" s="4"/>
      <c r="E2" s="4"/>
      <c r="F2" s="4"/>
      <c r="G2" s="8"/>
      <c r="H2" s="26"/>
      <c r="I2" s="72"/>
      <c r="J2" s="8"/>
      <c r="K2" s="8" t="s">
        <v>24</v>
      </c>
      <c r="L2" s="26" t="s">
        <v>64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72"/>
      <c r="Z2" s="72"/>
      <c r="AA2" s="72"/>
      <c r="AB2" s="72"/>
      <c r="AC2" s="26"/>
      <c r="AD2" s="72"/>
      <c r="AE2" s="2"/>
      <c r="AF2" s="6"/>
      <c r="AG2" s="6"/>
      <c r="AH2" s="1"/>
      <c r="AI2" s="37"/>
      <c r="AJ2" s="37"/>
      <c r="AK2" s="1"/>
      <c r="AL2" s="37"/>
      <c r="AM2" s="37"/>
      <c r="AN2" s="1"/>
      <c r="AO2" s="37"/>
      <c r="AP2" s="37"/>
      <c r="AQ2" s="3"/>
      <c r="AR2" s="3"/>
      <c r="AS2" s="12"/>
    </row>
    <row r="3" spans="2:46" ht="15.6" hidden="1" x14ac:dyDescent="0.25">
      <c r="B3" s="25" t="s">
        <v>25</v>
      </c>
      <c r="C3" s="4" t="s">
        <v>6</v>
      </c>
      <c r="D3" s="4"/>
      <c r="E3" s="4"/>
      <c r="F3" s="4"/>
      <c r="G3" s="8"/>
      <c r="H3" s="26"/>
      <c r="I3" s="72"/>
      <c r="J3" s="8"/>
      <c r="K3" s="8" t="s">
        <v>24</v>
      </c>
      <c r="L3" s="26" t="s">
        <v>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72"/>
      <c r="Z3" s="72"/>
      <c r="AA3" s="72"/>
      <c r="AB3" s="72"/>
      <c r="AC3" s="26"/>
      <c r="AD3" s="72"/>
      <c r="AE3" s="2"/>
      <c r="AF3" s="6"/>
      <c r="AG3" s="6"/>
      <c r="AH3" s="1"/>
      <c r="AI3" s="37"/>
      <c r="AJ3" s="37"/>
      <c r="AK3" s="76"/>
      <c r="AL3" s="37"/>
      <c r="AM3" s="37"/>
      <c r="AN3" s="1"/>
      <c r="AO3" s="77"/>
      <c r="AP3" s="37"/>
      <c r="AQ3" s="3"/>
      <c r="AR3" s="3"/>
      <c r="AS3" s="12"/>
    </row>
    <row r="4" spans="2:46" ht="15.6" hidden="1" x14ac:dyDescent="0.25">
      <c r="B4" s="25" t="s">
        <v>26</v>
      </c>
      <c r="C4" s="4" t="s">
        <v>8</v>
      </c>
      <c r="D4" s="4"/>
      <c r="E4" s="4"/>
      <c r="F4" s="4"/>
      <c r="G4" s="8"/>
      <c r="H4" s="26"/>
      <c r="I4" s="72"/>
      <c r="J4" s="8"/>
      <c r="K4" s="8" t="s">
        <v>24</v>
      </c>
      <c r="L4" s="26" t="s">
        <v>31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72"/>
      <c r="Z4" s="72"/>
      <c r="AA4" s="72"/>
      <c r="AB4" s="72"/>
      <c r="AC4" s="26"/>
      <c r="AD4" s="72"/>
      <c r="AE4" s="2"/>
      <c r="AF4" s="6"/>
      <c r="AG4" s="6"/>
      <c r="AH4" s="1"/>
      <c r="AI4" s="37"/>
      <c r="AJ4" s="37"/>
      <c r="AK4" s="114" t="s">
        <v>33</v>
      </c>
      <c r="AL4" s="37"/>
      <c r="AM4" s="37"/>
      <c r="AN4" s="1"/>
      <c r="AO4" s="77"/>
      <c r="AP4" s="37"/>
      <c r="AQ4" s="3"/>
      <c r="AR4" s="3"/>
      <c r="AS4" s="12"/>
    </row>
    <row r="5" spans="2:46" ht="15.6" hidden="1" x14ac:dyDescent="0.25">
      <c r="B5" s="25" t="s">
        <v>27</v>
      </c>
      <c r="C5" s="4" t="s">
        <v>9</v>
      </c>
      <c r="D5" s="4"/>
      <c r="E5" s="4"/>
      <c r="F5" s="4"/>
      <c r="G5" s="8"/>
      <c r="H5" s="5"/>
      <c r="I5" s="72"/>
      <c r="J5" s="8"/>
      <c r="K5" s="8" t="s">
        <v>24</v>
      </c>
      <c r="L5" s="5" t="s">
        <v>65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72"/>
      <c r="Z5" s="72"/>
      <c r="AA5" s="72"/>
      <c r="AB5" s="72"/>
      <c r="AC5" s="5"/>
      <c r="AD5" s="72"/>
      <c r="AE5" s="2"/>
      <c r="AF5" s="6"/>
      <c r="AG5" s="6"/>
      <c r="AH5" s="1"/>
      <c r="AI5" s="37"/>
      <c r="AJ5" s="37"/>
      <c r="AK5" s="1"/>
      <c r="AL5" s="37"/>
      <c r="AM5" s="37"/>
      <c r="AN5" s="1"/>
      <c r="AO5" s="77" t="s">
        <v>271</v>
      </c>
      <c r="AP5" s="37"/>
      <c r="AQ5" s="3"/>
      <c r="AR5" s="3"/>
      <c r="AS5" s="267"/>
    </row>
    <row r="6" spans="2:46" hidden="1" x14ac:dyDescent="0.25">
      <c r="B6" s="25" t="s">
        <v>15</v>
      </c>
      <c r="C6" s="10" t="s">
        <v>14</v>
      </c>
      <c r="D6" s="4"/>
      <c r="E6" s="5"/>
      <c r="F6" s="4"/>
      <c r="G6" s="8"/>
      <c r="H6" s="9"/>
      <c r="I6" s="72"/>
      <c r="J6" s="8"/>
      <c r="K6" s="8" t="s">
        <v>24</v>
      </c>
      <c r="L6" s="1014">
        <f>+AE13</f>
        <v>13194994750</v>
      </c>
      <c r="M6" s="1014"/>
      <c r="N6" s="1014"/>
      <c r="O6" s="1014"/>
      <c r="P6" s="1014"/>
      <c r="Q6" s="1014"/>
      <c r="R6" s="1014"/>
      <c r="S6" s="8"/>
      <c r="T6" s="8"/>
      <c r="U6" s="8"/>
      <c r="V6" s="8"/>
      <c r="W6" s="8"/>
      <c r="X6" s="8"/>
      <c r="Y6" s="72"/>
      <c r="Z6" s="72"/>
      <c r="AA6" s="72"/>
      <c r="AB6" s="72"/>
      <c r="AC6" s="72"/>
      <c r="AD6" s="72"/>
      <c r="AE6" s="1"/>
      <c r="AF6" s="7"/>
      <c r="AG6" s="7"/>
      <c r="AH6" s="1"/>
      <c r="AI6" s="37"/>
      <c r="AJ6" s="37"/>
      <c r="AK6" s="1"/>
      <c r="AL6" s="37"/>
      <c r="AM6" s="37"/>
      <c r="AN6" s="1"/>
      <c r="AO6" s="77" t="s">
        <v>272</v>
      </c>
      <c r="AP6" s="118"/>
      <c r="AQ6" s="118"/>
      <c r="AR6" s="118"/>
      <c r="AS6" s="41"/>
    </row>
    <row r="7" spans="2:46" ht="13.8" hidden="1" thickBot="1" x14ac:dyDescent="0.3">
      <c r="B7" s="13"/>
      <c r="C7" s="78"/>
      <c r="D7" s="14"/>
      <c r="E7" s="15"/>
      <c r="F7" s="14"/>
      <c r="G7" s="79"/>
      <c r="H7" s="11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11"/>
      <c r="AF7" s="16"/>
      <c r="AG7" s="16"/>
      <c r="AH7" s="11"/>
      <c r="AI7" s="38"/>
      <c r="AJ7" s="38"/>
      <c r="AK7" s="11"/>
      <c r="AL7" s="38"/>
      <c r="AM7" s="38"/>
      <c r="AN7" s="11"/>
      <c r="AO7" s="77"/>
      <c r="AP7" s="1130"/>
      <c r="AQ7" s="1130"/>
      <c r="AR7" s="1130"/>
      <c r="AS7" s="1131"/>
    </row>
    <row r="8" spans="2:46" ht="12.75" hidden="1" customHeight="1" x14ac:dyDescent="0.25">
      <c r="B8" s="1015" t="s">
        <v>19</v>
      </c>
      <c r="C8" s="1016"/>
      <c r="D8" s="1016"/>
      <c r="E8" s="1016"/>
      <c r="F8" s="1017"/>
      <c r="G8" s="1018" t="s">
        <v>13</v>
      </c>
      <c r="H8" s="1016"/>
      <c r="I8" s="1016"/>
      <c r="J8" s="1016"/>
      <c r="K8" s="1016"/>
      <c r="L8" s="1016"/>
      <c r="M8" s="1016"/>
      <c r="N8" s="1016"/>
      <c r="O8" s="1016"/>
      <c r="P8" s="1016"/>
      <c r="Q8" s="1016"/>
      <c r="R8" s="1016"/>
      <c r="S8" s="1016"/>
      <c r="T8" s="1016"/>
      <c r="U8" s="1016"/>
      <c r="V8" s="1016"/>
      <c r="W8" s="1016"/>
      <c r="X8" s="1016"/>
      <c r="Y8" s="1016"/>
      <c r="Z8" s="1016"/>
      <c r="AA8" s="1016"/>
      <c r="AB8" s="1016"/>
      <c r="AC8" s="1016"/>
      <c r="AD8" s="1017"/>
      <c r="AE8" s="20" t="s">
        <v>3</v>
      </c>
      <c r="AF8" s="1021" t="s">
        <v>20</v>
      </c>
      <c r="AG8" s="423"/>
      <c r="AH8" s="985" t="s">
        <v>78</v>
      </c>
      <c r="AI8" s="986"/>
      <c r="AJ8" s="986"/>
      <c r="AK8" s="986"/>
      <c r="AL8" s="986"/>
      <c r="AM8" s="986"/>
      <c r="AN8" s="986"/>
      <c r="AO8" s="986"/>
      <c r="AP8" s="986"/>
      <c r="AQ8" s="986"/>
      <c r="AR8" s="986"/>
      <c r="AS8" s="987"/>
    </row>
    <row r="9" spans="2:46" hidden="1" x14ac:dyDescent="0.25">
      <c r="B9" s="988" t="s">
        <v>1</v>
      </c>
      <c r="C9" s="989"/>
      <c r="D9" s="989"/>
      <c r="E9" s="989"/>
      <c r="F9" s="990"/>
      <c r="G9" s="1019"/>
      <c r="H9" s="989"/>
      <c r="I9" s="989"/>
      <c r="J9" s="989"/>
      <c r="K9" s="989"/>
      <c r="L9" s="989"/>
      <c r="M9" s="989"/>
      <c r="N9" s="989"/>
      <c r="O9" s="989"/>
      <c r="P9" s="989"/>
      <c r="Q9" s="989"/>
      <c r="R9" s="989"/>
      <c r="S9" s="989"/>
      <c r="T9" s="989"/>
      <c r="U9" s="989"/>
      <c r="V9" s="989"/>
      <c r="W9" s="989"/>
      <c r="X9" s="989"/>
      <c r="Y9" s="989"/>
      <c r="Z9" s="989"/>
      <c r="AA9" s="989"/>
      <c r="AB9" s="989"/>
      <c r="AC9" s="989"/>
      <c r="AD9" s="990"/>
      <c r="AE9" s="21" t="s">
        <v>28</v>
      </c>
      <c r="AF9" s="1022"/>
      <c r="AG9" s="424"/>
      <c r="AH9" s="121" t="s">
        <v>66</v>
      </c>
      <c r="AI9" s="24" t="s">
        <v>67</v>
      </c>
      <c r="AJ9" s="24" t="s">
        <v>68</v>
      </c>
      <c r="AK9" s="24" t="s">
        <v>69</v>
      </c>
      <c r="AL9" s="24" t="s">
        <v>70</v>
      </c>
      <c r="AM9" s="24" t="s">
        <v>71</v>
      </c>
      <c r="AN9" s="24" t="s">
        <v>72</v>
      </c>
      <c r="AO9" s="24" t="s">
        <v>73</v>
      </c>
      <c r="AP9" s="24" t="s">
        <v>74</v>
      </c>
      <c r="AQ9" s="24" t="s">
        <v>75</v>
      </c>
      <c r="AR9" s="24" t="s">
        <v>76</v>
      </c>
      <c r="AS9" s="24" t="s">
        <v>77</v>
      </c>
    </row>
    <row r="10" spans="2:46" ht="13.8" hidden="1" thickBot="1" x14ac:dyDescent="0.3">
      <c r="B10" s="991" t="s">
        <v>2</v>
      </c>
      <c r="C10" s="992"/>
      <c r="D10" s="992"/>
      <c r="E10" s="992"/>
      <c r="F10" s="993"/>
      <c r="G10" s="1020"/>
      <c r="H10" s="992"/>
      <c r="I10" s="992"/>
      <c r="J10" s="992"/>
      <c r="K10" s="992"/>
      <c r="L10" s="992"/>
      <c r="M10" s="992"/>
      <c r="N10" s="992"/>
      <c r="O10" s="992"/>
      <c r="P10" s="992"/>
      <c r="Q10" s="992"/>
      <c r="R10" s="992"/>
      <c r="S10" s="992"/>
      <c r="T10" s="992"/>
      <c r="U10" s="992"/>
      <c r="V10" s="992"/>
      <c r="W10" s="992"/>
      <c r="X10" s="992"/>
      <c r="Y10" s="992"/>
      <c r="Z10" s="992"/>
      <c r="AA10" s="992"/>
      <c r="AB10" s="992"/>
      <c r="AC10" s="992"/>
      <c r="AD10" s="993"/>
      <c r="AE10" s="22" t="s">
        <v>4</v>
      </c>
      <c r="AF10" s="23" t="s">
        <v>21</v>
      </c>
      <c r="AG10" s="425"/>
      <c r="AH10" s="119"/>
      <c r="AI10" s="39"/>
      <c r="AJ10" s="39"/>
      <c r="AK10" s="29"/>
      <c r="AL10" s="39"/>
      <c r="AM10" s="39"/>
      <c r="AN10" s="29"/>
      <c r="AO10" s="39"/>
      <c r="AP10" s="39"/>
      <c r="AQ10" s="120"/>
      <c r="AR10" s="120"/>
      <c r="AS10" s="268"/>
    </row>
    <row r="11" spans="2:46" hidden="1" x14ac:dyDescent="0.25">
      <c r="B11" s="994">
        <v>1</v>
      </c>
      <c r="C11" s="995"/>
      <c r="D11" s="995"/>
      <c r="E11" s="995"/>
      <c r="F11" s="995"/>
      <c r="G11" s="996">
        <v>2</v>
      </c>
      <c r="H11" s="997"/>
      <c r="I11" s="997"/>
      <c r="J11" s="997"/>
      <c r="K11" s="997"/>
      <c r="L11" s="997"/>
      <c r="M11" s="997"/>
      <c r="N11" s="997"/>
      <c r="O11" s="997"/>
      <c r="P11" s="997"/>
      <c r="Q11" s="997"/>
      <c r="R11" s="997"/>
      <c r="S11" s="997"/>
      <c r="T11" s="997"/>
      <c r="U11" s="997"/>
      <c r="V11" s="997"/>
      <c r="W11" s="997"/>
      <c r="X11" s="997"/>
      <c r="Y11" s="997"/>
      <c r="Z11" s="997"/>
      <c r="AA11" s="997"/>
      <c r="AB11" s="997"/>
      <c r="AC11" s="997"/>
      <c r="AD11" s="998"/>
      <c r="AE11" s="17">
        <v>3</v>
      </c>
      <c r="AF11" s="18" t="s">
        <v>29</v>
      </c>
      <c r="AG11" s="18"/>
      <c r="AH11" s="175">
        <f>+AE11+1</f>
        <v>4</v>
      </c>
      <c r="AI11" s="175">
        <f>+AF11+1</f>
        <v>5</v>
      </c>
      <c r="AJ11" s="175">
        <f>+AI11+1</f>
        <v>6</v>
      </c>
      <c r="AK11" s="175">
        <f t="shared" ref="AK11:AS11" si="0">+AJ11+1</f>
        <v>7</v>
      </c>
      <c r="AL11" s="175">
        <f t="shared" si="0"/>
        <v>8</v>
      </c>
      <c r="AM11" s="175">
        <f t="shared" si="0"/>
        <v>9</v>
      </c>
      <c r="AN11" s="175">
        <f t="shared" si="0"/>
        <v>10</v>
      </c>
      <c r="AO11" s="175">
        <f t="shared" si="0"/>
        <v>11</v>
      </c>
      <c r="AP11" s="175">
        <f t="shared" si="0"/>
        <v>12</v>
      </c>
      <c r="AQ11" s="175">
        <f t="shared" si="0"/>
        <v>13</v>
      </c>
      <c r="AR11" s="175">
        <f t="shared" si="0"/>
        <v>14</v>
      </c>
      <c r="AS11" s="269">
        <f t="shared" si="0"/>
        <v>15</v>
      </c>
    </row>
    <row r="12" spans="2:46" ht="12.75" hidden="1" customHeight="1" x14ac:dyDescent="0.35">
      <c r="B12" s="999" t="s">
        <v>33</v>
      </c>
      <c r="C12" s="1000"/>
      <c r="D12" s="1000"/>
      <c r="E12" s="1000"/>
      <c r="F12" s="1001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28"/>
      <c r="AF12" s="30"/>
      <c r="AG12" s="30"/>
      <c r="AH12" s="178"/>
      <c r="AI12" s="178"/>
      <c r="AJ12" s="178"/>
      <c r="AK12" s="178"/>
      <c r="AL12" s="178"/>
      <c r="AM12" s="178"/>
      <c r="AN12" s="178"/>
      <c r="AO12" s="179"/>
      <c r="AP12" s="178"/>
      <c r="AQ12" s="179"/>
      <c r="AR12" s="179"/>
      <c r="AS12" s="270"/>
      <c r="AT12" s="155"/>
    </row>
    <row r="13" spans="2:46" ht="12.75" hidden="1" customHeight="1" x14ac:dyDescent="0.25">
      <c r="B13" s="1002" t="s">
        <v>140</v>
      </c>
      <c r="C13" s="1003"/>
      <c r="D13" s="1003"/>
      <c r="E13" s="1003"/>
      <c r="F13" s="1003"/>
      <c r="G13" s="1003"/>
      <c r="H13" s="1003"/>
      <c r="I13" s="1003"/>
      <c r="J13" s="1003"/>
      <c r="K13" s="1003"/>
      <c r="L13" s="1003"/>
      <c r="M13" s="1003"/>
      <c r="N13" s="1003"/>
      <c r="O13" s="1003"/>
      <c r="P13" s="1003"/>
      <c r="Q13" s="1003"/>
      <c r="R13" s="1003"/>
      <c r="S13" s="1003"/>
      <c r="T13" s="1003"/>
      <c r="U13" s="1003"/>
      <c r="V13" s="1003"/>
      <c r="W13" s="1003"/>
      <c r="X13" s="1003"/>
      <c r="Y13" s="1003"/>
      <c r="Z13" s="1003"/>
      <c r="AA13" s="1003"/>
      <c r="AB13" s="1003"/>
      <c r="AC13" s="1003"/>
      <c r="AD13" s="1004"/>
      <c r="AE13" s="61">
        <f>+AE16+AE87+AE137+AE184+AE216+AE324</f>
        <v>13194994750</v>
      </c>
      <c r="AF13" s="63">
        <f>(AE13/AE$13)*100</f>
        <v>100</v>
      </c>
      <c r="AG13" s="63"/>
      <c r="AH13" s="180"/>
      <c r="AI13" s="180"/>
      <c r="AJ13" s="180"/>
      <c r="AK13" s="180"/>
      <c r="AL13" s="180"/>
      <c r="AM13" s="181"/>
      <c r="AN13" s="180"/>
      <c r="AO13" s="182"/>
      <c r="AP13" s="182"/>
      <c r="AQ13" s="182"/>
      <c r="AR13" s="182"/>
      <c r="AS13" s="271"/>
      <c r="AT13" s="155"/>
    </row>
    <row r="14" spans="2:46" hidden="1" x14ac:dyDescent="0.25">
      <c r="B14" s="328" t="s">
        <v>207</v>
      </c>
      <c r="C14" s="64"/>
      <c r="D14" s="65"/>
      <c r="E14" s="66"/>
      <c r="F14" s="66"/>
      <c r="G14" s="67"/>
      <c r="H14" s="80"/>
      <c r="I14" s="1005" t="s">
        <v>208</v>
      </c>
      <c r="J14" s="1005"/>
      <c r="K14" s="1005"/>
      <c r="L14" s="1005"/>
      <c r="M14" s="1005"/>
      <c r="N14" s="1005"/>
      <c r="O14" s="1005"/>
      <c r="P14" s="1005"/>
      <c r="Q14" s="1005"/>
      <c r="R14" s="1005"/>
      <c r="S14" s="1005"/>
      <c r="T14" s="1005"/>
      <c r="U14" s="1005"/>
      <c r="V14" s="1005"/>
      <c r="W14" s="1005"/>
      <c r="X14" s="1005"/>
      <c r="Y14" s="1005"/>
      <c r="Z14" s="1005"/>
      <c r="AA14" s="1005"/>
      <c r="AB14" s="1005"/>
      <c r="AC14" s="1005"/>
      <c r="AD14" s="31"/>
      <c r="AE14" s="68">
        <f>+AE16+AE87</f>
        <v>6158927000</v>
      </c>
      <c r="AF14" s="129">
        <f>(AE14/AE$13)*100</f>
        <v>46.67623683594114</v>
      </c>
      <c r="AG14" s="129"/>
      <c r="AH14" s="183"/>
      <c r="AI14" s="184"/>
      <c r="AJ14" s="185"/>
      <c r="AK14" s="185"/>
      <c r="AL14" s="184"/>
      <c r="AM14" s="185"/>
      <c r="AN14" s="185"/>
      <c r="AO14" s="183"/>
      <c r="AP14" s="185"/>
      <c r="AQ14" s="185"/>
      <c r="AR14" s="185"/>
      <c r="AS14" s="272"/>
      <c r="AT14" s="155"/>
    </row>
    <row r="15" spans="2:46" hidden="1" x14ac:dyDescent="0.25">
      <c r="B15" s="328"/>
      <c r="C15" s="64"/>
      <c r="D15" s="65"/>
      <c r="E15" s="66"/>
      <c r="F15" s="66"/>
      <c r="G15" s="67"/>
      <c r="H15" s="80"/>
      <c r="I15" s="1006"/>
      <c r="J15" s="1006"/>
      <c r="K15" s="1006"/>
      <c r="L15" s="1006"/>
      <c r="M15" s="1006"/>
      <c r="N15" s="1006"/>
      <c r="O15" s="1006"/>
      <c r="P15" s="1006"/>
      <c r="Q15" s="1006"/>
      <c r="R15" s="1006"/>
      <c r="S15" s="1006"/>
      <c r="T15" s="1006"/>
      <c r="U15" s="1006"/>
      <c r="V15" s="1006"/>
      <c r="W15" s="1006"/>
      <c r="X15" s="1006"/>
      <c r="Y15" s="1006"/>
      <c r="Z15" s="1006"/>
      <c r="AA15" s="1006"/>
      <c r="AB15" s="1006"/>
      <c r="AC15" s="1006"/>
      <c r="AD15" s="31"/>
      <c r="AE15" s="81"/>
      <c r="AF15" s="128"/>
      <c r="AG15" s="128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273"/>
      <c r="AT15" s="155"/>
    </row>
    <row r="16" spans="2:46" hidden="1" x14ac:dyDescent="0.25">
      <c r="B16" s="329" t="s">
        <v>209</v>
      </c>
      <c r="C16" s="140"/>
      <c r="D16" s="141"/>
      <c r="E16" s="142"/>
      <c r="F16" s="142"/>
      <c r="G16" s="143"/>
      <c r="H16" s="144"/>
      <c r="I16" s="135" t="s">
        <v>210</v>
      </c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6"/>
      <c r="AE16" s="145">
        <f>AE18+AE31</f>
        <v>2948606000</v>
      </c>
      <c r="AF16" s="129">
        <f>(AE16/AE$13)*100</f>
        <v>22.346397674769822</v>
      </c>
      <c r="AG16" s="129"/>
      <c r="AH16" s="185"/>
      <c r="AI16" s="184"/>
      <c r="AJ16" s="184"/>
      <c r="AK16" s="185"/>
      <c r="AL16" s="184"/>
      <c r="AM16" s="186"/>
      <c r="AN16" s="186"/>
      <c r="AO16" s="185"/>
      <c r="AP16" s="185"/>
      <c r="AQ16" s="185"/>
      <c r="AR16" s="185"/>
      <c r="AS16" s="272"/>
      <c r="AT16" s="155"/>
    </row>
    <row r="17" spans="2:47" hidden="1" x14ac:dyDescent="0.25">
      <c r="B17" s="328">
        <v>5</v>
      </c>
      <c r="C17" s="64">
        <v>2</v>
      </c>
      <c r="D17" s="65"/>
      <c r="E17" s="66"/>
      <c r="F17" s="66"/>
      <c r="G17" s="322" t="s">
        <v>55</v>
      </c>
      <c r="H17" s="8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31"/>
      <c r="AE17" s="68"/>
      <c r="AF17" s="127"/>
      <c r="AG17" s="127"/>
      <c r="AH17" s="185"/>
      <c r="AI17" s="184"/>
      <c r="AJ17" s="185"/>
      <c r="AK17" s="185"/>
      <c r="AL17" s="184"/>
      <c r="AM17" s="185"/>
      <c r="AN17" s="186"/>
      <c r="AO17" s="183"/>
      <c r="AP17" s="185"/>
      <c r="AQ17" s="185"/>
      <c r="AR17" s="185"/>
      <c r="AS17" s="272"/>
      <c r="AT17" s="155"/>
    </row>
    <row r="18" spans="2:47" hidden="1" x14ac:dyDescent="0.25">
      <c r="B18" s="32">
        <v>5</v>
      </c>
      <c r="C18" s="33">
        <v>2</v>
      </c>
      <c r="D18" s="33">
        <v>1</v>
      </c>
      <c r="E18" s="82"/>
      <c r="F18" s="82"/>
      <c r="G18" s="44" t="s">
        <v>58</v>
      </c>
      <c r="H18" s="45"/>
      <c r="I18" s="4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19"/>
      <c r="AD18" s="31"/>
      <c r="AE18" s="34">
        <f>+AE19</f>
        <v>89154000</v>
      </c>
      <c r="AF18" s="129">
        <f>(AE18/AE$13)*100</f>
        <v>0.67566529346288673</v>
      </c>
      <c r="AG18" s="129"/>
      <c r="AH18" s="186"/>
      <c r="AI18" s="184"/>
      <c r="AJ18" s="184"/>
      <c r="AK18" s="186"/>
      <c r="AL18" s="187"/>
      <c r="AM18" s="188"/>
      <c r="AN18" s="186"/>
      <c r="AO18" s="185"/>
      <c r="AP18" s="185"/>
      <c r="AQ18" s="185"/>
      <c r="AR18" s="185"/>
      <c r="AS18" s="272"/>
      <c r="AT18" s="155"/>
    </row>
    <row r="19" spans="2:47" hidden="1" x14ac:dyDescent="0.25">
      <c r="B19" s="32">
        <v>5</v>
      </c>
      <c r="C19" s="33">
        <v>2</v>
      </c>
      <c r="D19" s="33">
        <v>1</v>
      </c>
      <c r="E19" s="35" t="s">
        <v>5</v>
      </c>
      <c r="F19" s="82"/>
      <c r="G19" s="44" t="s">
        <v>0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19"/>
      <c r="AD19" s="31"/>
      <c r="AE19" s="34">
        <f>+AE20+AE24+AE27</f>
        <v>89154000</v>
      </c>
      <c r="AF19" s="127">
        <f>(AE19/AE$13)*100</f>
        <v>0.67566529346288673</v>
      </c>
      <c r="AG19" s="127"/>
      <c r="AH19" s="186"/>
      <c r="AI19" s="184"/>
      <c r="AJ19" s="184"/>
      <c r="AK19" s="186"/>
      <c r="AL19" s="184"/>
      <c r="AM19" s="188"/>
      <c r="AN19" s="186"/>
      <c r="AO19" s="185"/>
      <c r="AP19" s="185"/>
      <c r="AQ19" s="185"/>
      <c r="AR19" s="185"/>
      <c r="AS19" s="272"/>
      <c r="AT19" s="155"/>
    </row>
    <row r="20" spans="2:47" hidden="1" x14ac:dyDescent="0.25">
      <c r="B20" s="83">
        <v>5</v>
      </c>
      <c r="C20" s="82">
        <v>2</v>
      </c>
      <c r="D20" s="82">
        <v>1</v>
      </c>
      <c r="E20" s="84" t="s">
        <v>5</v>
      </c>
      <c r="F20" s="84" t="s">
        <v>5</v>
      </c>
      <c r="G20" s="73" t="s">
        <v>46</v>
      </c>
      <c r="H20" s="75"/>
      <c r="I20" s="7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42"/>
      <c r="AD20" s="43"/>
      <c r="AE20" s="74">
        <f>+AE21+AE22</f>
        <v>59154000</v>
      </c>
      <c r="AF20" s="127">
        <f>(AE20/AE$13)*100</f>
        <v>0.44830635495326743</v>
      </c>
      <c r="AG20" s="127"/>
      <c r="AH20" s="186"/>
      <c r="AI20" s="184"/>
      <c r="AJ20" s="184"/>
      <c r="AK20" s="186"/>
      <c r="AL20" s="189"/>
      <c r="AM20" s="186"/>
      <c r="AN20" s="186"/>
      <c r="AO20" s="185"/>
      <c r="AP20" s="185"/>
      <c r="AQ20" s="185"/>
      <c r="AR20" s="185"/>
      <c r="AS20" s="272"/>
      <c r="AT20" s="155"/>
    </row>
    <row r="21" spans="2:47" hidden="1" x14ac:dyDescent="0.25">
      <c r="B21" s="32"/>
      <c r="C21" s="33"/>
      <c r="D21" s="33"/>
      <c r="E21" s="35"/>
      <c r="F21" s="82"/>
      <c r="G21" s="73" t="s">
        <v>79</v>
      </c>
      <c r="H21" s="45"/>
      <c r="I21" s="45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19"/>
      <c r="AD21" s="31"/>
      <c r="AE21" s="74">
        <v>47154000</v>
      </c>
      <c r="AF21" s="127">
        <f>(AE21/AE$13)*100</f>
        <v>0.3573627795494197</v>
      </c>
      <c r="AG21" s="127"/>
      <c r="AH21" s="188"/>
      <c r="AI21" s="190"/>
      <c r="AJ21" s="190"/>
      <c r="AK21" s="188"/>
      <c r="AL21" s="189">
        <f>+AE21/2</f>
        <v>23577000</v>
      </c>
      <c r="AM21" s="188"/>
      <c r="AN21" s="188">
        <f>+AL21</f>
        <v>23577000</v>
      </c>
      <c r="AO21" s="183"/>
      <c r="AP21" s="183"/>
      <c r="AQ21" s="183"/>
      <c r="AR21" s="183"/>
      <c r="AS21" s="273"/>
      <c r="AT21" s="155"/>
      <c r="AU21" s="157">
        <f>SUM(AH21:AS21)</f>
        <v>47154000</v>
      </c>
    </row>
    <row r="22" spans="2:47" hidden="1" x14ac:dyDescent="0.25">
      <c r="B22" s="32"/>
      <c r="C22" s="33"/>
      <c r="D22" s="33"/>
      <c r="E22" s="35"/>
      <c r="F22" s="82"/>
      <c r="G22" s="73" t="s">
        <v>270</v>
      </c>
      <c r="H22" s="45"/>
      <c r="I22" s="45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19"/>
      <c r="AD22" s="31"/>
      <c r="AE22" s="74">
        <v>12000000</v>
      </c>
      <c r="AF22" s="127">
        <f>(AE22/AE$13)*100</f>
        <v>9.0943575403847732E-2</v>
      </c>
      <c r="AG22" s="127"/>
      <c r="AH22" s="188">
        <f>+AE22/12</f>
        <v>1000000</v>
      </c>
      <c r="AI22" s="190">
        <f>+AH22</f>
        <v>1000000</v>
      </c>
      <c r="AJ22" s="190">
        <f t="shared" ref="AJ22:AS22" si="1">+AI22</f>
        <v>1000000</v>
      </c>
      <c r="AK22" s="190">
        <f t="shared" si="1"/>
        <v>1000000</v>
      </c>
      <c r="AL22" s="190">
        <f t="shared" si="1"/>
        <v>1000000</v>
      </c>
      <c r="AM22" s="190">
        <f t="shared" si="1"/>
        <v>1000000</v>
      </c>
      <c r="AN22" s="190">
        <f t="shared" si="1"/>
        <v>1000000</v>
      </c>
      <c r="AO22" s="190">
        <f t="shared" si="1"/>
        <v>1000000</v>
      </c>
      <c r="AP22" s="190">
        <f t="shared" si="1"/>
        <v>1000000</v>
      </c>
      <c r="AQ22" s="190">
        <f t="shared" si="1"/>
        <v>1000000</v>
      </c>
      <c r="AR22" s="190">
        <f t="shared" si="1"/>
        <v>1000000</v>
      </c>
      <c r="AS22" s="274">
        <f t="shared" si="1"/>
        <v>1000000</v>
      </c>
      <c r="AT22" s="155"/>
      <c r="AU22" s="157">
        <f>SUM(AH22:AS22)</f>
        <v>12000000</v>
      </c>
    </row>
    <row r="23" spans="2:47" hidden="1" x14ac:dyDescent="0.25">
      <c r="B23" s="32"/>
      <c r="C23" s="33"/>
      <c r="D23" s="33"/>
      <c r="E23" s="35"/>
      <c r="F23" s="82"/>
      <c r="G23" s="44"/>
      <c r="H23" s="45"/>
      <c r="I23" s="45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19"/>
      <c r="AD23" s="31"/>
      <c r="AE23" s="34"/>
      <c r="AF23" s="129"/>
      <c r="AG23" s="129"/>
      <c r="AH23" s="186"/>
      <c r="AI23" s="187"/>
      <c r="AJ23" s="186"/>
      <c r="AK23" s="186"/>
      <c r="AL23" s="184"/>
      <c r="AM23" s="188"/>
      <c r="AN23" s="186"/>
      <c r="AO23" s="185"/>
      <c r="AP23" s="191"/>
      <c r="AQ23" s="192"/>
      <c r="AR23" s="192"/>
      <c r="AS23" s="275"/>
      <c r="AT23" s="155"/>
      <c r="AU23" s="157">
        <f t="shared" ref="AU23:AU87" si="2">SUM(AH23:AS23)</f>
        <v>0</v>
      </c>
    </row>
    <row r="24" spans="2:47" hidden="1" x14ac:dyDescent="0.25">
      <c r="B24" s="83">
        <v>5</v>
      </c>
      <c r="C24" s="82">
        <v>2</v>
      </c>
      <c r="D24" s="82">
        <v>1</v>
      </c>
      <c r="E24" s="84" t="s">
        <v>5</v>
      </c>
      <c r="F24" s="84" t="s">
        <v>10</v>
      </c>
      <c r="G24" s="73" t="s">
        <v>34</v>
      </c>
      <c r="H24" s="75"/>
      <c r="I24" s="7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42"/>
      <c r="AD24" s="43"/>
      <c r="AE24" s="34">
        <f>+AE25+AE26</f>
        <v>5550000</v>
      </c>
      <c r="AF24" s="127">
        <f t="shared" ref="AF24:AF29" si="3">(AE24/AE$13)*100</f>
        <v>4.2061403624279584E-2</v>
      </c>
      <c r="AG24" s="127"/>
      <c r="AH24" s="186"/>
      <c r="AI24" s="184"/>
      <c r="AJ24" s="184"/>
      <c r="AK24" s="186"/>
      <c r="AL24" s="189"/>
      <c r="AM24" s="186"/>
      <c r="AN24" s="186"/>
      <c r="AO24" s="185"/>
      <c r="AP24" s="185"/>
      <c r="AQ24" s="185"/>
      <c r="AR24" s="185"/>
      <c r="AS24" s="272"/>
      <c r="AT24" s="155"/>
      <c r="AU24" s="157">
        <f t="shared" si="2"/>
        <v>0</v>
      </c>
    </row>
    <row r="25" spans="2:47" hidden="1" x14ac:dyDescent="0.25">
      <c r="B25" s="32"/>
      <c r="C25" s="33"/>
      <c r="D25" s="33"/>
      <c r="E25" s="35"/>
      <c r="F25" s="82"/>
      <c r="G25" s="73" t="s">
        <v>80</v>
      </c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42"/>
      <c r="AD25" s="43"/>
      <c r="AE25" s="74">
        <v>5550000</v>
      </c>
      <c r="AF25" s="127">
        <f t="shared" si="3"/>
        <v>4.2061403624279584E-2</v>
      </c>
      <c r="AG25" s="127"/>
      <c r="AH25" s="188"/>
      <c r="AI25" s="190"/>
      <c r="AJ25" s="190"/>
      <c r="AK25" s="188">
        <f>+AE25</f>
        <v>5550000</v>
      </c>
      <c r="AL25" s="189"/>
      <c r="AM25" s="188"/>
      <c r="AN25" s="188"/>
      <c r="AO25" s="183"/>
      <c r="AP25" s="183"/>
      <c r="AQ25" s="183"/>
      <c r="AR25" s="183"/>
      <c r="AS25" s="273"/>
      <c r="AT25" s="155"/>
      <c r="AU25" s="157">
        <f t="shared" si="2"/>
        <v>5550000</v>
      </c>
    </row>
    <row r="26" spans="2:47" hidden="1" x14ac:dyDescent="0.25">
      <c r="B26" s="32"/>
      <c r="C26" s="33"/>
      <c r="D26" s="33"/>
      <c r="E26" s="35"/>
      <c r="F26" s="82"/>
      <c r="G26" s="73" t="s">
        <v>33</v>
      </c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42"/>
      <c r="AD26" s="43"/>
      <c r="AE26" s="74"/>
      <c r="AF26" s="127"/>
      <c r="AG26" s="127"/>
      <c r="AH26" s="188"/>
      <c r="AI26" s="184"/>
      <c r="AJ26" s="184"/>
      <c r="AK26" s="186"/>
      <c r="AL26" s="189"/>
      <c r="AM26" s="186"/>
      <c r="AN26" s="186"/>
      <c r="AO26" s="185"/>
      <c r="AP26" s="185"/>
      <c r="AQ26" s="185"/>
      <c r="AR26" s="185"/>
      <c r="AS26" s="272"/>
      <c r="AT26" s="155"/>
      <c r="AU26" s="157">
        <f t="shared" si="2"/>
        <v>0</v>
      </c>
    </row>
    <row r="27" spans="2:47" hidden="1" x14ac:dyDescent="0.25">
      <c r="B27" s="83">
        <v>5</v>
      </c>
      <c r="C27" s="82">
        <v>2</v>
      </c>
      <c r="D27" s="82">
        <v>1</v>
      </c>
      <c r="E27" s="84" t="s">
        <v>5</v>
      </c>
      <c r="F27" s="84" t="s">
        <v>52</v>
      </c>
      <c r="G27" s="73" t="s">
        <v>53</v>
      </c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42"/>
      <c r="AD27" s="43"/>
      <c r="AE27" s="34">
        <f>+AE28+AE29</f>
        <v>24450000</v>
      </c>
      <c r="AF27" s="127">
        <f t="shared" si="3"/>
        <v>0.18529753488533976</v>
      </c>
      <c r="AG27" s="127"/>
      <c r="AH27" s="186"/>
      <c r="AI27" s="184"/>
      <c r="AJ27" s="184"/>
      <c r="AK27" s="186"/>
      <c r="AL27" s="189"/>
      <c r="AM27" s="186"/>
      <c r="AN27" s="186"/>
      <c r="AO27" s="185"/>
      <c r="AP27" s="185"/>
      <c r="AQ27" s="185"/>
      <c r="AR27" s="185"/>
      <c r="AS27" s="272"/>
      <c r="AT27" s="155"/>
      <c r="AU27" s="157">
        <f t="shared" si="2"/>
        <v>0</v>
      </c>
    </row>
    <row r="28" spans="2:47" hidden="1" x14ac:dyDescent="0.25">
      <c r="B28" s="32"/>
      <c r="C28" s="33"/>
      <c r="D28" s="33"/>
      <c r="E28" s="35"/>
      <c r="F28" s="82"/>
      <c r="G28" s="73" t="s">
        <v>81</v>
      </c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42"/>
      <c r="AD28" s="43"/>
      <c r="AE28" s="74">
        <v>18900000</v>
      </c>
      <c r="AF28" s="127">
        <f t="shared" si="3"/>
        <v>0.14323613126106016</v>
      </c>
      <c r="AG28" s="127"/>
      <c r="AH28" s="188"/>
      <c r="AI28" s="190"/>
      <c r="AJ28" s="190"/>
      <c r="AK28" s="188"/>
      <c r="AL28" s="189"/>
      <c r="AM28" s="188"/>
      <c r="AN28" s="188">
        <f>+AE28/2</f>
        <v>9450000</v>
      </c>
      <c r="AO28" s="183">
        <f>+AN28</f>
        <v>9450000</v>
      </c>
      <c r="AP28" s="183"/>
      <c r="AQ28" s="183"/>
      <c r="AR28" s="183"/>
      <c r="AS28" s="273"/>
      <c r="AT28" s="155"/>
      <c r="AU28" s="157">
        <f t="shared" si="2"/>
        <v>18900000</v>
      </c>
    </row>
    <row r="29" spans="2:47" hidden="1" x14ac:dyDescent="0.25">
      <c r="B29" s="32"/>
      <c r="C29" s="33"/>
      <c r="D29" s="33"/>
      <c r="E29" s="35"/>
      <c r="F29" s="82"/>
      <c r="G29" s="73" t="s">
        <v>82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42"/>
      <c r="AD29" s="43"/>
      <c r="AE29" s="74">
        <f>+AE25</f>
        <v>5550000</v>
      </c>
      <c r="AF29" s="127">
        <f t="shared" si="3"/>
        <v>4.2061403624279584E-2</v>
      </c>
      <c r="AG29" s="127"/>
      <c r="AH29" s="188"/>
      <c r="AI29" s="184"/>
      <c r="AJ29" s="184"/>
      <c r="AK29" s="186"/>
      <c r="AL29" s="189"/>
      <c r="AM29" s="188"/>
      <c r="AN29" s="186"/>
      <c r="AO29" s="185"/>
      <c r="AP29" s="183">
        <f>+AE29</f>
        <v>5550000</v>
      </c>
      <c r="AQ29" s="185"/>
      <c r="AR29" s="185"/>
      <c r="AS29" s="272"/>
      <c r="AT29" s="155"/>
      <c r="AU29" s="157">
        <f t="shared" si="2"/>
        <v>5550000</v>
      </c>
    </row>
    <row r="30" spans="2:47" hidden="1" x14ac:dyDescent="0.25">
      <c r="B30" s="32"/>
      <c r="C30" s="33"/>
      <c r="D30" s="33"/>
      <c r="E30" s="35"/>
      <c r="F30" s="82"/>
      <c r="G30" s="73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42"/>
      <c r="AD30" s="43"/>
      <c r="AE30" s="74"/>
      <c r="AF30" s="127"/>
      <c r="AG30" s="127"/>
      <c r="AH30" s="188"/>
      <c r="AI30" s="189"/>
      <c r="AJ30" s="193"/>
      <c r="AK30" s="188"/>
      <c r="AL30" s="189"/>
      <c r="AM30" s="188"/>
      <c r="AN30" s="188"/>
      <c r="AO30" s="183"/>
      <c r="AP30" s="194"/>
      <c r="AQ30" s="195"/>
      <c r="AR30" s="195"/>
      <c r="AS30" s="276"/>
      <c r="AT30" s="155"/>
      <c r="AU30" s="157">
        <f t="shared" si="2"/>
        <v>0</v>
      </c>
    </row>
    <row r="31" spans="2:47" hidden="1" x14ac:dyDescent="0.25">
      <c r="B31" s="32">
        <v>5</v>
      </c>
      <c r="C31" s="33">
        <v>2</v>
      </c>
      <c r="D31" s="33">
        <v>2</v>
      </c>
      <c r="E31" s="82"/>
      <c r="F31" s="82"/>
      <c r="G31" s="44" t="s">
        <v>83</v>
      </c>
      <c r="H31" s="45"/>
      <c r="I31" s="4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9"/>
      <c r="AD31" s="31"/>
      <c r="AE31" s="34">
        <f>+AE32+AE38+AE42+AE45+AE52</f>
        <v>2859452000</v>
      </c>
      <c r="AF31" s="127">
        <f t="shared" ref="AF31:AF36" si="4">(AE31/AE$13)*100</f>
        <v>21.670732381306934</v>
      </c>
      <c r="AG31" s="127"/>
      <c r="AH31" s="186"/>
      <c r="AI31" s="187"/>
      <c r="AJ31" s="184"/>
      <c r="AK31" s="186"/>
      <c r="AL31" s="187"/>
      <c r="AM31" s="186"/>
      <c r="AN31" s="186"/>
      <c r="AO31" s="185"/>
      <c r="AP31" s="185"/>
      <c r="AQ31" s="185"/>
      <c r="AR31" s="185"/>
      <c r="AS31" s="272"/>
      <c r="AT31" s="155"/>
      <c r="AU31" s="157">
        <f t="shared" si="2"/>
        <v>0</v>
      </c>
    </row>
    <row r="32" spans="2:47" hidden="1" x14ac:dyDescent="0.25">
      <c r="B32" s="32">
        <v>5</v>
      </c>
      <c r="C32" s="33">
        <v>2</v>
      </c>
      <c r="D32" s="33">
        <v>2</v>
      </c>
      <c r="E32" s="35" t="s">
        <v>5</v>
      </c>
      <c r="F32" s="82"/>
      <c r="G32" s="44" t="s">
        <v>17</v>
      </c>
      <c r="H32" s="45"/>
      <c r="I32" s="4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19"/>
      <c r="AD32" s="31"/>
      <c r="AE32" s="34">
        <f>AE33</f>
        <v>36090000</v>
      </c>
      <c r="AF32" s="127">
        <f t="shared" si="4"/>
        <v>0.27351280302707209</v>
      </c>
      <c r="AG32" s="127"/>
      <c r="AH32" s="186"/>
      <c r="AI32" s="187"/>
      <c r="AJ32" s="184"/>
      <c r="AK32" s="186"/>
      <c r="AL32" s="187"/>
      <c r="AM32" s="186"/>
      <c r="AN32" s="186"/>
      <c r="AO32" s="185"/>
      <c r="AP32" s="185"/>
      <c r="AQ32" s="185"/>
      <c r="AR32" s="185"/>
      <c r="AS32" s="272"/>
      <c r="AT32" s="155"/>
      <c r="AU32" s="157">
        <f t="shared" si="2"/>
        <v>0</v>
      </c>
    </row>
    <row r="33" spans="2:47" hidden="1" x14ac:dyDescent="0.25">
      <c r="B33" s="83">
        <v>5</v>
      </c>
      <c r="C33" s="82">
        <v>2</v>
      </c>
      <c r="D33" s="82">
        <v>2</v>
      </c>
      <c r="E33" s="84" t="s">
        <v>5</v>
      </c>
      <c r="F33" s="84" t="s">
        <v>5</v>
      </c>
      <c r="G33" s="73" t="s">
        <v>18</v>
      </c>
      <c r="H33" s="75"/>
      <c r="I33" s="86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19"/>
      <c r="AD33" s="31"/>
      <c r="AE33" s="74">
        <f>SUM(AE34:AE36)</f>
        <v>36090000</v>
      </c>
      <c r="AF33" s="127">
        <f t="shared" si="4"/>
        <v>0.27351280302707209</v>
      </c>
      <c r="AG33" s="127"/>
      <c r="AH33" s="188"/>
      <c r="AI33" s="187"/>
      <c r="AJ33" s="190"/>
      <c r="AK33" s="188"/>
      <c r="AL33" s="189"/>
      <c r="AM33" s="188"/>
      <c r="AN33" s="188"/>
      <c r="AO33" s="183"/>
      <c r="AP33" s="183"/>
      <c r="AQ33" s="183"/>
      <c r="AR33" s="183"/>
      <c r="AS33" s="273"/>
      <c r="AT33" s="155"/>
      <c r="AU33" s="157">
        <f t="shared" si="2"/>
        <v>0</v>
      </c>
    </row>
    <row r="34" spans="2:47" hidden="1" x14ac:dyDescent="0.25">
      <c r="B34" s="83"/>
      <c r="C34" s="87"/>
      <c r="D34" s="82"/>
      <c r="E34" s="84"/>
      <c r="F34" s="84"/>
      <c r="G34" s="122" t="s">
        <v>37</v>
      </c>
      <c r="H34" s="75" t="s">
        <v>84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19"/>
      <c r="AD34" s="31"/>
      <c r="AE34" s="74">
        <v>9090000</v>
      </c>
      <c r="AF34" s="127">
        <f t="shared" si="4"/>
        <v>6.8889758368414669E-2</v>
      </c>
      <c r="AG34" s="127"/>
      <c r="AH34" s="189">
        <f>+AE34/3</f>
        <v>3030000</v>
      </c>
      <c r="AI34" s="187"/>
      <c r="AJ34" s="190"/>
      <c r="AK34" s="188"/>
      <c r="AL34" s="189">
        <f>+AH34</f>
        <v>3030000</v>
      </c>
      <c r="AM34" s="188"/>
      <c r="AN34" s="183"/>
      <c r="AO34" s="183"/>
      <c r="AP34" s="183">
        <f>+AL34</f>
        <v>3030000</v>
      </c>
      <c r="AQ34" s="72"/>
      <c r="AR34" s="183"/>
      <c r="AS34" s="273"/>
      <c r="AT34" s="155"/>
      <c r="AU34" s="157">
        <f t="shared" si="2"/>
        <v>9090000</v>
      </c>
    </row>
    <row r="35" spans="2:47" hidden="1" x14ac:dyDescent="0.25">
      <c r="B35" s="83"/>
      <c r="C35" s="87"/>
      <c r="D35" s="82"/>
      <c r="E35" s="84"/>
      <c r="F35" s="84"/>
      <c r="G35" s="122" t="s">
        <v>37</v>
      </c>
      <c r="H35" s="75" t="s">
        <v>85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19"/>
      <c r="AD35" s="31"/>
      <c r="AE35" s="74">
        <v>9000000</v>
      </c>
      <c r="AF35" s="127">
        <f t="shared" si="4"/>
        <v>6.8207681552885799E-2</v>
      </c>
      <c r="AG35" s="127"/>
      <c r="AH35" s="188"/>
      <c r="AI35" s="189">
        <f>+AE35/3</f>
        <v>3000000</v>
      </c>
      <c r="AJ35" s="190"/>
      <c r="AK35" s="189">
        <f>+AI35</f>
        <v>3000000</v>
      </c>
      <c r="AL35" s="208"/>
      <c r="AM35" s="188">
        <f>+AK35</f>
        <v>3000000</v>
      </c>
      <c r="AN35" s="188"/>
      <c r="AO35" s="183"/>
      <c r="AP35" s="183"/>
      <c r="AQ35" s="183"/>
      <c r="AR35" s="183"/>
      <c r="AS35" s="273"/>
      <c r="AT35" s="155"/>
      <c r="AU35" s="157">
        <f t="shared" si="2"/>
        <v>9000000</v>
      </c>
    </row>
    <row r="36" spans="2:47" hidden="1" x14ac:dyDescent="0.25">
      <c r="B36" s="83"/>
      <c r="C36" s="87"/>
      <c r="D36" s="82"/>
      <c r="E36" s="84"/>
      <c r="F36" s="84"/>
      <c r="G36" s="122" t="s">
        <v>37</v>
      </c>
      <c r="H36" s="75" t="s">
        <v>86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19"/>
      <c r="AD36" s="31"/>
      <c r="AE36" s="74">
        <v>18000000</v>
      </c>
      <c r="AF36" s="127">
        <f t="shared" si="4"/>
        <v>0.1364153631057716</v>
      </c>
      <c r="AG36" s="127"/>
      <c r="AH36" s="188"/>
      <c r="AI36" s="189">
        <f>+AE36/3</f>
        <v>6000000</v>
      </c>
      <c r="AJ36" s="190"/>
      <c r="AK36" s="188"/>
      <c r="AL36" s="189">
        <f>+AI36</f>
        <v>6000000</v>
      </c>
      <c r="AM36" s="188"/>
      <c r="AN36" s="188"/>
      <c r="AO36" s="183">
        <f>+AL36</f>
        <v>6000000</v>
      </c>
      <c r="AP36" s="183"/>
      <c r="AQ36" s="183"/>
      <c r="AR36" s="183"/>
      <c r="AS36" s="273"/>
      <c r="AT36" s="155"/>
      <c r="AU36" s="157">
        <f t="shared" si="2"/>
        <v>18000000</v>
      </c>
    </row>
    <row r="37" spans="2:47" hidden="1" x14ac:dyDescent="0.25">
      <c r="B37" s="83"/>
      <c r="C37" s="87"/>
      <c r="D37" s="82"/>
      <c r="E37" s="84"/>
      <c r="F37" s="84"/>
      <c r="G37" s="73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19"/>
      <c r="AD37" s="31"/>
      <c r="AE37" s="74"/>
      <c r="AF37" s="129"/>
      <c r="AG37" s="129"/>
      <c r="AH37" s="188"/>
      <c r="AI37" s="189"/>
      <c r="AJ37" s="188"/>
      <c r="AK37" s="188"/>
      <c r="AL37" s="189"/>
      <c r="AM37" s="188"/>
      <c r="AN37" s="188"/>
      <c r="AO37" s="183"/>
      <c r="AP37" s="194"/>
      <c r="AQ37" s="195"/>
      <c r="AR37" s="195"/>
      <c r="AS37" s="276"/>
      <c r="AT37" s="155"/>
      <c r="AU37" s="157">
        <f t="shared" si="2"/>
        <v>0</v>
      </c>
    </row>
    <row r="38" spans="2:47" hidden="1" x14ac:dyDescent="0.25">
      <c r="B38" s="32">
        <v>5</v>
      </c>
      <c r="C38" s="33">
        <v>2</v>
      </c>
      <c r="D38" s="33">
        <v>2</v>
      </c>
      <c r="E38" s="35" t="s">
        <v>10</v>
      </c>
      <c r="F38" s="84"/>
      <c r="G38" s="73" t="s">
        <v>56</v>
      </c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19"/>
      <c r="AD38" s="31"/>
      <c r="AE38" s="34">
        <f>AE39</f>
        <v>1000000</v>
      </c>
      <c r="AF38" s="127">
        <f>(AE38/AE$13)*100</f>
        <v>7.5786312836539776E-3</v>
      </c>
      <c r="AG38" s="127"/>
      <c r="AH38" s="186"/>
      <c r="AI38" s="184"/>
      <c r="AJ38" s="184"/>
      <c r="AK38" s="186"/>
      <c r="AL38" s="189"/>
      <c r="AM38" s="186"/>
      <c r="AN38" s="186"/>
      <c r="AO38" s="185"/>
      <c r="AP38" s="185"/>
      <c r="AQ38" s="185"/>
      <c r="AR38" s="185"/>
      <c r="AS38" s="272"/>
      <c r="AT38" s="155"/>
      <c r="AU38" s="157">
        <f t="shared" si="2"/>
        <v>0</v>
      </c>
    </row>
    <row r="39" spans="2:47" hidden="1" x14ac:dyDescent="0.25">
      <c r="B39" s="32">
        <v>5</v>
      </c>
      <c r="C39" s="33">
        <v>2</v>
      </c>
      <c r="D39" s="33">
        <v>2</v>
      </c>
      <c r="E39" s="35" t="s">
        <v>10</v>
      </c>
      <c r="F39" s="35" t="s">
        <v>12</v>
      </c>
      <c r="G39" s="73" t="s">
        <v>87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19"/>
      <c r="AD39" s="31"/>
      <c r="AE39" s="74">
        <f>+AE40</f>
        <v>1000000</v>
      </c>
      <c r="AF39" s="127">
        <f>(AE39/AE$13)*100</f>
        <v>7.5786312836539776E-3</v>
      </c>
      <c r="AG39" s="127"/>
      <c r="AH39" s="188"/>
      <c r="AI39" s="190"/>
      <c r="AJ39" s="190"/>
      <c r="AK39" s="188"/>
      <c r="AL39" s="189"/>
      <c r="AM39" s="188"/>
      <c r="AN39" s="188"/>
      <c r="AO39" s="183"/>
      <c r="AP39" s="183"/>
      <c r="AQ39" s="183"/>
      <c r="AR39" s="183"/>
      <c r="AS39" s="273"/>
      <c r="AT39" s="155"/>
      <c r="AU39" s="157">
        <f t="shared" si="2"/>
        <v>0</v>
      </c>
    </row>
    <row r="40" spans="2:47" hidden="1" x14ac:dyDescent="0.25">
      <c r="B40" s="83"/>
      <c r="C40" s="87"/>
      <c r="D40" s="82"/>
      <c r="E40" s="84"/>
      <c r="F40" s="84"/>
      <c r="G40" s="73" t="s">
        <v>37</v>
      </c>
      <c r="H40" s="75" t="s">
        <v>204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19"/>
      <c r="AD40" s="31"/>
      <c r="AE40" s="74">
        <v>1000000</v>
      </c>
      <c r="AF40" s="127">
        <f>(AE40/AE$13)*100</f>
        <v>7.5786312836539776E-3</v>
      </c>
      <c r="AG40" s="127"/>
      <c r="AH40" s="188"/>
      <c r="AI40" s="190"/>
      <c r="AJ40" s="190"/>
      <c r="AK40" s="188"/>
      <c r="AL40" s="189">
        <f>+AE40/2</f>
        <v>500000</v>
      </c>
      <c r="AM40" s="188"/>
      <c r="AN40" s="188"/>
      <c r="AO40" s="183"/>
      <c r="AP40" s="183">
        <f>+AL40</f>
        <v>500000</v>
      </c>
      <c r="AQ40" s="183"/>
      <c r="AR40" s="183"/>
      <c r="AS40" s="273"/>
      <c r="AT40" s="155"/>
      <c r="AU40" s="157">
        <f t="shared" si="2"/>
        <v>1000000</v>
      </c>
    </row>
    <row r="41" spans="2:47" hidden="1" x14ac:dyDescent="0.25">
      <c r="B41" s="83"/>
      <c r="C41" s="87"/>
      <c r="D41" s="82"/>
      <c r="E41" s="84"/>
      <c r="F41" s="84"/>
      <c r="G41" s="73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19"/>
      <c r="AD41" s="31"/>
      <c r="AE41" s="74"/>
      <c r="AF41" s="129"/>
      <c r="AG41" s="129"/>
      <c r="AH41" s="188"/>
      <c r="AI41" s="189"/>
      <c r="AJ41" s="188"/>
      <c r="AK41" s="188"/>
      <c r="AL41" s="189"/>
      <c r="AM41" s="188"/>
      <c r="AN41" s="188"/>
      <c r="AO41" s="183"/>
      <c r="AP41" s="194"/>
      <c r="AQ41" s="185"/>
      <c r="AR41" s="185"/>
      <c r="AS41" s="272"/>
      <c r="AT41" s="155"/>
      <c r="AU41" s="157">
        <f t="shared" si="2"/>
        <v>0</v>
      </c>
    </row>
    <row r="42" spans="2:47" hidden="1" x14ac:dyDescent="0.25">
      <c r="B42" s="32">
        <v>5</v>
      </c>
      <c r="C42" s="36">
        <v>2</v>
      </c>
      <c r="D42" s="33">
        <v>2</v>
      </c>
      <c r="E42" s="35" t="s">
        <v>12</v>
      </c>
      <c r="F42" s="82"/>
      <c r="G42" s="322" t="s">
        <v>16</v>
      </c>
      <c r="H42" s="323"/>
      <c r="I42" s="324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  <c r="AA42" s="323"/>
      <c r="AB42" s="323"/>
      <c r="AC42" s="19"/>
      <c r="AD42" s="31"/>
      <c r="AE42" s="34">
        <f>+AE43</f>
        <v>7000000</v>
      </c>
      <c r="AF42" s="127">
        <f>(AE42/AE$13)*100</f>
        <v>5.3050418985577844E-2</v>
      </c>
      <c r="AG42" s="127"/>
      <c r="AH42" s="186"/>
      <c r="AI42" s="187"/>
      <c r="AJ42" s="186"/>
      <c r="AK42" s="186"/>
      <c r="AL42" s="189"/>
      <c r="AM42" s="186"/>
      <c r="AN42" s="186"/>
      <c r="AO42" s="185"/>
      <c r="AP42" s="185"/>
      <c r="AQ42" s="185"/>
      <c r="AR42" s="185"/>
      <c r="AS42" s="272"/>
      <c r="AT42" s="155"/>
      <c r="AU42" s="157">
        <f t="shared" si="2"/>
        <v>0</v>
      </c>
    </row>
    <row r="43" spans="2:47" hidden="1" x14ac:dyDescent="0.25">
      <c r="B43" s="83">
        <v>5</v>
      </c>
      <c r="C43" s="87">
        <v>2</v>
      </c>
      <c r="D43" s="82">
        <v>2</v>
      </c>
      <c r="E43" s="84" t="s">
        <v>12</v>
      </c>
      <c r="F43" s="35" t="s">
        <v>10</v>
      </c>
      <c r="G43" s="73" t="s">
        <v>88</v>
      </c>
      <c r="H43" s="326"/>
      <c r="I43" s="326"/>
      <c r="J43" s="326"/>
      <c r="K43" s="326"/>
      <c r="L43" s="326"/>
      <c r="M43" s="326"/>
      <c r="N43" s="326"/>
      <c r="O43" s="326"/>
      <c r="P43" s="326"/>
      <c r="Q43" s="326"/>
      <c r="R43" s="326"/>
      <c r="S43" s="326"/>
      <c r="T43" s="326"/>
      <c r="U43" s="326"/>
      <c r="V43" s="326"/>
      <c r="W43" s="326"/>
      <c r="X43" s="326"/>
      <c r="Y43" s="326"/>
      <c r="Z43" s="326"/>
      <c r="AA43" s="326"/>
      <c r="AB43" s="326"/>
      <c r="AC43" s="19"/>
      <c r="AD43" s="31"/>
      <c r="AE43" s="74">
        <v>7000000</v>
      </c>
      <c r="AF43" s="127">
        <f>(AE43/AE$13)*100</f>
        <v>5.3050418985577844E-2</v>
      </c>
      <c r="AG43" s="127"/>
      <c r="AH43" s="188"/>
      <c r="AI43" s="189"/>
      <c r="AJ43" s="188">
        <v>2500000</v>
      </c>
      <c r="AK43" s="188"/>
      <c r="AL43" s="189"/>
      <c r="AM43" s="186"/>
      <c r="AN43" s="188">
        <f>+AJ43</f>
        <v>2500000</v>
      </c>
      <c r="AO43" s="183"/>
      <c r="AP43" s="183"/>
      <c r="AQ43" s="183">
        <v>2000000</v>
      </c>
      <c r="AR43" s="183"/>
      <c r="AS43" s="273"/>
      <c r="AT43" s="155"/>
      <c r="AU43" s="157">
        <f t="shared" si="2"/>
        <v>7000000</v>
      </c>
    </row>
    <row r="44" spans="2:47" hidden="1" x14ac:dyDescent="0.25">
      <c r="B44" s="83"/>
      <c r="C44" s="87"/>
      <c r="D44" s="82"/>
      <c r="E44" s="84"/>
      <c r="F44" s="35"/>
      <c r="G44" s="73"/>
      <c r="H44" s="326"/>
      <c r="I44" s="326"/>
      <c r="J44" s="326"/>
      <c r="K44" s="326"/>
      <c r="L44" s="326"/>
      <c r="M44" s="326"/>
      <c r="N44" s="326"/>
      <c r="O44" s="326"/>
      <c r="P44" s="326"/>
      <c r="Q44" s="326"/>
      <c r="R44" s="326"/>
      <c r="S44" s="326"/>
      <c r="T44" s="326"/>
      <c r="U44" s="326"/>
      <c r="V44" s="326"/>
      <c r="W44" s="326"/>
      <c r="X44" s="326"/>
      <c r="Y44" s="326"/>
      <c r="Z44" s="326"/>
      <c r="AA44" s="326"/>
      <c r="AB44" s="326"/>
      <c r="AC44" s="19"/>
      <c r="AD44" s="31"/>
      <c r="AE44" s="74"/>
      <c r="AF44" s="127"/>
      <c r="AG44" s="127"/>
      <c r="AH44" s="188"/>
      <c r="AI44" s="189"/>
      <c r="AJ44" s="188"/>
      <c r="AK44" s="188"/>
      <c r="AL44" s="189"/>
      <c r="AM44" s="188"/>
      <c r="AN44" s="188"/>
      <c r="AO44" s="183"/>
      <c r="AP44" s="194"/>
      <c r="AQ44" s="195"/>
      <c r="AR44" s="195"/>
      <c r="AS44" s="276"/>
      <c r="AT44" s="155"/>
      <c r="AU44" s="157">
        <f t="shared" si="2"/>
        <v>0</v>
      </c>
    </row>
    <row r="45" spans="2:47" hidden="1" x14ac:dyDescent="0.25">
      <c r="B45" s="32">
        <v>5</v>
      </c>
      <c r="C45" s="36">
        <v>2</v>
      </c>
      <c r="D45" s="33">
        <v>2</v>
      </c>
      <c r="E45" s="33">
        <v>15</v>
      </c>
      <c r="F45" s="82"/>
      <c r="G45" s="322" t="s">
        <v>57</v>
      </c>
      <c r="H45" s="323"/>
      <c r="I45" s="324"/>
      <c r="J45" s="323"/>
      <c r="K45" s="323"/>
      <c r="L45" s="323"/>
      <c r="M45" s="323"/>
      <c r="N45" s="323"/>
      <c r="O45" s="323"/>
      <c r="P45" s="323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23"/>
      <c r="AC45" s="19"/>
      <c r="AD45" s="31"/>
      <c r="AE45" s="34">
        <f>+AE46+AE48</f>
        <v>200688000</v>
      </c>
      <c r="AF45" s="127">
        <f>(AE45/AE$13)*100</f>
        <v>1.5209403550539495</v>
      </c>
      <c r="AG45" s="127"/>
      <c r="AH45" s="186"/>
      <c r="AI45" s="184"/>
      <c r="AJ45" s="184"/>
      <c r="AK45" s="186"/>
      <c r="AL45" s="187"/>
      <c r="AM45" s="186"/>
      <c r="AN45" s="186"/>
      <c r="AO45" s="185"/>
      <c r="AP45" s="185"/>
      <c r="AQ45" s="185"/>
      <c r="AR45" s="185"/>
      <c r="AS45" s="272"/>
      <c r="AT45" s="155"/>
      <c r="AU45" s="157">
        <f t="shared" si="2"/>
        <v>0</v>
      </c>
    </row>
    <row r="46" spans="2:47" hidden="1" x14ac:dyDescent="0.25">
      <c r="B46" s="83">
        <v>5</v>
      </c>
      <c r="C46" s="87">
        <v>2</v>
      </c>
      <c r="D46" s="82">
        <v>2</v>
      </c>
      <c r="E46" s="82">
        <v>15</v>
      </c>
      <c r="F46" s="84" t="s">
        <v>5</v>
      </c>
      <c r="G46" s="325" t="s">
        <v>89</v>
      </c>
      <c r="H46" s="326"/>
      <c r="I46" s="327"/>
      <c r="J46" s="326"/>
      <c r="K46" s="326"/>
      <c r="L46" s="326"/>
      <c r="M46" s="326"/>
      <c r="N46" s="326"/>
      <c r="O46" s="326"/>
      <c r="P46" s="326"/>
      <c r="Q46" s="326"/>
      <c r="R46" s="326"/>
      <c r="S46" s="326"/>
      <c r="T46" s="326"/>
      <c r="U46" s="326"/>
      <c r="V46" s="326"/>
      <c r="W46" s="326"/>
      <c r="X46" s="326"/>
      <c r="Y46" s="326"/>
      <c r="Z46" s="326"/>
      <c r="AA46" s="326"/>
      <c r="AB46" s="326"/>
      <c r="AC46" s="19"/>
      <c r="AD46" s="31"/>
      <c r="AE46" s="74">
        <v>82944000</v>
      </c>
      <c r="AF46" s="127">
        <f>(AE46/AE$13)*100</f>
        <v>0.62860199319139554</v>
      </c>
      <c r="AG46" s="127"/>
      <c r="AH46" s="188">
        <v>2500000</v>
      </c>
      <c r="AI46" s="190">
        <v>15000000</v>
      </c>
      <c r="AJ46" s="190">
        <v>15000000</v>
      </c>
      <c r="AK46" s="190">
        <v>17500000</v>
      </c>
      <c r="AL46" s="189">
        <v>17500000</v>
      </c>
      <c r="AM46" s="188"/>
      <c r="AN46" s="188">
        <f>+AE46-AH46-AI46-AJ46-AK46-AL46</f>
        <v>15444000</v>
      </c>
      <c r="AO46" s="183"/>
      <c r="AP46" s="183"/>
      <c r="AQ46" s="183"/>
      <c r="AR46" s="183"/>
      <c r="AS46" s="273"/>
      <c r="AT46" s="155"/>
      <c r="AU46" s="157">
        <f>SUM(AH46:AS46)</f>
        <v>82944000</v>
      </c>
    </row>
    <row r="47" spans="2:47" hidden="1" x14ac:dyDescent="0.25">
      <c r="B47" s="83"/>
      <c r="C47" s="87"/>
      <c r="D47" s="82"/>
      <c r="E47" s="82"/>
      <c r="F47" s="84"/>
      <c r="G47" s="325"/>
      <c r="H47" s="326"/>
      <c r="I47" s="326"/>
      <c r="J47" s="326"/>
      <c r="K47" s="326"/>
      <c r="L47" s="326"/>
      <c r="M47" s="326"/>
      <c r="N47" s="326"/>
      <c r="O47" s="326"/>
      <c r="P47" s="326"/>
      <c r="Q47" s="326"/>
      <c r="R47" s="326"/>
      <c r="S47" s="326"/>
      <c r="T47" s="326"/>
      <c r="U47" s="326"/>
      <c r="V47" s="326"/>
      <c r="W47" s="326"/>
      <c r="X47" s="326"/>
      <c r="Y47" s="326"/>
      <c r="Z47" s="326"/>
      <c r="AA47" s="326"/>
      <c r="AB47" s="326"/>
      <c r="AC47" s="19"/>
      <c r="AD47" s="31"/>
      <c r="AE47" s="74"/>
      <c r="AF47" s="127"/>
      <c r="AG47" s="127"/>
      <c r="AH47" s="188"/>
      <c r="AI47" s="184"/>
      <c r="AJ47" s="184"/>
      <c r="AK47" s="188"/>
      <c r="AL47" s="189"/>
      <c r="AM47" s="186"/>
      <c r="AN47" s="186"/>
      <c r="AO47" s="185"/>
      <c r="AP47" s="185"/>
      <c r="AQ47" s="185"/>
      <c r="AR47" s="185"/>
      <c r="AS47" s="272"/>
      <c r="AT47" s="155"/>
      <c r="AU47" s="157">
        <f t="shared" si="2"/>
        <v>0</v>
      </c>
    </row>
    <row r="48" spans="2:47" hidden="1" x14ac:dyDescent="0.25">
      <c r="B48" s="83">
        <v>5</v>
      </c>
      <c r="C48" s="87">
        <v>2</v>
      </c>
      <c r="D48" s="82">
        <v>2</v>
      </c>
      <c r="E48" s="82">
        <v>15</v>
      </c>
      <c r="F48" s="84" t="s">
        <v>10</v>
      </c>
      <c r="G48" s="325" t="s">
        <v>90</v>
      </c>
      <c r="H48" s="326"/>
      <c r="I48" s="326"/>
      <c r="J48" s="326"/>
      <c r="K48" s="326"/>
      <c r="L48" s="326"/>
      <c r="M48" s="326"/>
      <c r="N48" s="326"/>
      <c r="O48" s="326"/>
      <c r="P48" s="326"/>
      <c r="Q48" s="326"/>
      <c r="R48" s="326"/>
      <c r="S48" s="326"/>
      <c r="T48" s="326"/>
      <c r="U48" s="326"/>
      <c r="V48" s="326"/>
      <c r="W48" s="326"/>
      <c r="X48" s="326"/>
      <c r="Y48" s="326"/>
      <c r="Z48" s="326"/>
      <c r="AA48" s="326"/>
      <c r="AB48" s="326"/>
      <c r="AC48" s="19"/>
      <c r="AD48" s="31"/>
      <c r="AE48" s="34">
        <f>SUM(AE49:AE50)</f>
        <v>117744000</v>
      </c>
      <c r="AF48" s="127">
        <f>(AE48/AE$13)*100</f>
        <v>0.892338361862554</v>
      </c>
      <c r="AG48" s="127"/>
      <c r="AH48" s="188"/>
      <c r="AI48" s="190"/>
      <c r="AJ48" s="190"/>
      <c r="AK48" s="188"/>
      <c r="AL48" s="189"/>
      <c r="AM48" s="188"/>
      <c r="AN48" s="188"/>
      <c r="AO48" s="183"/>
      <c r="AP48" s="183"/>
      <c r="AQ48" s="183"/>
      <c r="AR48" s="183"/>
      <c r="AS48" s="273"/>
      <c r="AT48" s="155"/>
      <c r="AU48" s="157">
        <f t="shared" si="2"/>
        <v>0</v>
      </c>
    </row>
    <row r="49" spans="2:47" hidden="1" x14ac:dyDescent="0.25">
      <c r="B49" s="83"/>
      <c r="C49" s="87"/>
      <c r="D49" s="82"/>
      <c r="E49" s="82"/>
      <c r="F49" s="84"/>
      <c r="G49" s="325" t="s">
        <v>37</v>
      </c>
      <c r="H49" s="326" t="s">
        <v>90</v>
      </c>
      <c r="I49" s="326"/>
      <c r="J49" s="326"/>
      <c r="K49" s="326"/>
      <c r="L49" s="326"/>
      <c r="M49" s="326"/>
      <c r="N49" s="326"/>
      <c r="O49" s="326"/>
      <c r="P49" s="326"/>
      <c r="Q49" s="326"/>
      <c r="R49" s="326"/>
      <c r="S49" s="326"/>
      <c r="T49" s="326"/>
      <c r="U49" s="326"/>
      <c r="V49" s="326"/>
      <c r="W49" s="326"/>
      <c r="X49" s="326"/>
      <c r="Y49" s="326"/>
      <c r="Z49" s="326"/>
      <c r="AA49" s="326"/>
      <c r="AB49" s="326"/>
      <c r="AC49" s="19"/>
      <c r="AD49" s="31"/>
      <c r="AE49" s="74">
        <v>70144000</v>
      </c>
      <c r="AF49" s="127"/>
      <c r="AG49" s="127"/>
      <c r="AH49" s="188"/>
      <c r="AI49" s="190">
        <v>17500000</v>
      </c>
      <c r="AJ49" s="190"/>
      <c r="AK49" s="188">
        <f>+AI49</f>
        <v>17500000</v>
      </c>
      <c r="AL49" s="189"/>
      <c r="AM49" s="188">
        <f>+AK49</f>
        <v>17500000</v>
      </c>
      <c r="AN49" s="188"/>
      <c r="AP49" s="183">
        <f>+AM49+144000</f>
        <v>17644000</v>
      </c>
      <c r="AQ49" s="183"/>
      <c r="AR49" s="183"/>
      <c r="AS49" s="273"/>
      <c r="AT49" s="155"/>
      <c r="AU49" s="157">
        <f t="shared" si="2"/>
        <v>70144000</v>
      </c>
    </row>
    <row r="50" spans="2:47" hidden="1" x14ac:dyDescent="0.25">
      <c r="B50" s="83"/>
      <c r="C50" s="87"/>
      <c r="D50" s="82"/>
      <c r="E50" s="82"/>
      <c r="F50" s="84"/>
      <c r="G50" s="325" t="s">
        <v>37</v>
      </c>
      <c r="H50" s="326" t="s">
        <v>229</v>
      </c>
      <c r="I50" s="326"/>
      <c r="J50" s="326"/>
      <c r="K50" s="326"/>
      <c r="L50" s="326"/>
      <c r="M50" s="326"/>
      <c r="N50" s="326"/>
      <c r="O50" s="326"/>
      <c r="P50" s="326"/>
      <c r="Q50" s="326"/>
      <c r="R50" s="326"/>
      <c r="S50" s="326"/>
      <c r="T50" s="326"/>
      <c r="U50" s="326"/>
      <c r="V50" s="326"/>
      <c r="W50" s="326"/>
      <c r="X50" s="326"/>
      <c r="Y50" s="326"/>
      <c r="Z50" s="326"/>
      <c r="AA50" s="326"/>
      <c r="AB50" s="326"/>
      <c r="AC50" s="19"/>
      <c r="AD50" s="31"/>
      <c r="AE50" s="74">
        <v>47600000</v>
      </c>
      <c r="AF50" s="127"/>
      <c r="AG50" s="127"/>
      <c r="AH50" s="188"/>
      <c r="AI50" s="190"/>
      <c r="AJ50" s="190">
        <f>+AE50/4</f>
        <v>11900000</v>
      </c>
      <c r="AK50" s="188"/>
      <c r="AL50" s="189">
        <f>+AJ50</f>
        <v>11900000</v>
      </c>
      <c r="AM50" s="188"/>
      <c r="AN50" s="188"/>
      <c r="AO50" s="183">
        <f>+AL50</f>
        <v>11900000</v>
      </c>
      <c r="AP50" s="183"/>
      <c r="AQ50" s="183">
        <f>+AO50</f>
        <v>11900000</v>
      </c>
      <c r="AR50" s="183"/>
      <c r="AS50" s="273"/>
      <c r="AT50" s="155"/>
      <c r="AU50" s="157">
        <f t="shared" si="2"/>
        <v>47600000</v>
      </c>
    </row>
    <row r="51" spans="2:47" hidden="1" x14ac:dyDescent="0.25">
      <c r="B51" s="83"/>
      <c r="C51" s="87"/>
      <c r="D51" s="82"/>
      <c r="E51" s="82"/>
      <c r="F51" s="84"/>
      <c r="G51" s="325"/>
      <c r="H51" s="326"/>
      <c r="I51" s="326"/>
      <c r="J51" s="326"/>
      <c r="K51" s="326"/>
      <c r="L51" s="326"/>
      <c r="M51" s="326"/>
      <c r="N51" s="326"/>
      <c r="O51" s="326"/>
      <c r="P51" s="326"/>
      <c r="Q51" s="326"/>
      <c r="R51" s="326"/>
      <c r="S51" s="326"/>
      <c r="T51" s="326"/>
      <c r="U51" s="326"/>
      <c r="V51" s="326"/>
      <c r="W51" s="326"/>
      <c r="X51" s="326"/>
      <c r="Y51" s="326"/>
      <c r="Z51" s="326"/>
      <c r="AA51" s="326"/>
      <c r="AB51" s="326"/>
      <c r="AC51" s="19"/>
      <c r="AD51" s="31"/>
      <c r="AE51" s="74"/>
      <c r="AF51" s="127"/>
      <c r="AG51" s="127"/>
      <c r="AH51" s="188"/>
      <c r="AI51" s="189"/>
      <c r="AJ51" s="188"/>
      <c r="AK51" s="188"/>
      <c r="AL51" s="189"/>
      <c r="AM51" s="188"/>
      <c r="AN51" s="188"/>
      <c r="AO51" s="183"/>
      <c r="AP51" s="194"/>
      <c r="AQ51" s="195"/>
      <c r="AR51" s="195"/>
      <c r="AS51" s="276"/>
      <c r="AT51" s="155"/>
      <c r="AU51" s="157">
        <f t="shared" si="2"/>
        <v>0</v>
      </c>
    </row>
    <row r="52" spans="2:47" hidden="1" x14ac:dyDescent="0.25">
      <c r="B52" s="32">
        <v>5</v>
      </c>
      <c r="C52" s="33">
        <v>2</v>
      </c>
      <c r="D52" s="33">
        <v>2</v>
      </c>
      <c r="E52" s="35" t="s">
        <v>32</v>
      </c>
      <c r="F52" s="82"/>
      <c r="G52" s="44" t="s">
        <v>91</v>
      </c>
      <c r="H52" s="45"/>
      <c r="I52" s="4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19"/>
      <c r="AD52" s="31"/>
      <c r="AE52" s="34">
        <f>AE53</f>
        <v>2614674000</v>
      </c>
      <c r="AF52" s="127">
        <f t="shared" ref="AF52:AF84" si="5">(AE52/AE$13)*100</f>
        <v>19.81565017295668</v>
      </c>
      <c r="AG52" s="127"/>
      <c r="AH52" s="186"/>
      <c r="AI52" s="184"/>
      <c r="AJ52" s="184"/>
      <c r="AK52" s="186"/>
      <c r="AL52" s="187"/>
      <c r="AM52" s="186"/>
      <c r="AN52" s="186"/>
      <c r="AO52" s="185"/>
      <c r="AP52" s="185"/>
      <c r="AQ52" s="185"/>
      <c r="AR52" s="185"/>
      <c r="AS52" s="272"/>
      <c r="AT52" s="155"/>
      <c r="AU52" s="157">
        <f t="shared" si="2"/>
        <v>0</v>
      </c>
    </row>
    <row r="53" spans="2:47" hidden="1" x14ac:dyDescent="0.25">
      <c r="B53" s="83">
        <v>5</v>
      </c>
      <c r="C53" s="82">
        <v>2</v>
      </c>
      <c r="D53" s="82">
        <v>2</v>
      </c>
      <c r="E53" s="84" t="s">
        <v>32</v>
      </c>
      <c r="F53" s="84" t="s">
        <v>10</v>
      </c>
      <c r="G53" s="73" t="s">
        <v>92</v>
      </c>
      <c r="H53" s="75"/>
      <c r="I53" s="86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19"/>
      <c r="AD53" s="31"/>
      <c r="AE53" s="74">
        <f>+AE54</f>
        <v>2614674000</v>
      </c>
      <c r="AF53" s="127">
        <f t="shared" si="5"/>
        <v>19.81565017295668</v>
      </c>
      <c r="AG53" s="127"/>
      <c r="AH53" s="188"/>
      <c r="AI53" s="190"/>
      <c r="AJ53" s="307"/>
      <c r="AK53" s="188"/>
      <c r="AL53" s="303"/>
      <c r="AM53" s="186"/>
      <c r="AN53" s="188"/>
      <c r="AO53" s="183"/>
      <c r="AP53" s="183"/>
      <c r="AQ53" s="183"/>
      <c r="AR53" s="183"/>
      <c r="AS53" s="272"/>
      <c r="AT53" s="155"/>
      <c r="AU53" s="157">
        <f t="shared" si="2"/>
        <v>0</v>
      </c>
    </row>
    <row r="54" spans="2:47" hidden="1" x14ac:dyDescent="0.25">
      <c r="B54" s="83"/>
      <c r="C54" s="82"/>
      <c r="D54" s="82"/>
      <c r="E54" s="82"/>
      <c r="F54" s="82"/>
      <c r="G54" s="73" t="s">
        <v>93</v>
      </c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19"/>
      <c r="AD54" s="31"/>
      <c r="AE54" s="74">
        <f>SUM(AE55:AE84)</f>
        <v>2614674000</v>
      </c>
      <c r="AF54" s="127">
        <f t="shared" si="5"/>
        <v>19.81565017295668</v>
      </c>
      <c r="AG54" s="127"/>
      <c r="AH54" s="188"/>
      <c r="AI54" s="190"/>
      <c r="AJ54" s="307"/>
      <c r="AK54" s="188"/>
      <c r="AL54" s="303"/>
      <c r="AM54" s="186"/>
      <c r="AN54" s="188"/>
      <c r="AO54" s="183"/>
      <c r="AP54" s="183"/>
      <c r="AQ54" s="183"/>
      <c r="AR54" s="183"/>
      <c r="AS54" s="272"/>
      <c r="AT54" s="155"/>
      <c r="AU54" s="157">
        <f t="shared" si="2"/>
        <v>0</v>
      </c>
    </row>
    <row r="55" spans="2:47" hidden="1" x14ac:dyDescent="0.25">
      <c r="B55" s="83"/>
      <c r="C55" s="82"/>
      <c r="D55" s="82"/>
      <c r="E55" s="82"/>
      <c r="F55" s="82"/>
      <c r="G55" s="123">
        <v>1</v>
      </c>
      <c r="H55" s="75" t="s">
        <v>94</v>
      </c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19"/>
      <c r="AD55" s="31"/>
      <c r="AE55" s="74">
        <v>100000000</v>
      </c>
      <c r="AF55" s="127">
        <f t="shared" si="5"/>
        <v>0.75786312836539782</v>
      </c>
      <c r="AG55" s="127"/>
      <c r="AH55" s="196"/>
      <c r="AI55" s="190"/>
      <c r="AJ55" s="188">
        <f t="shared" ref="AJ55:AJ84" si="6">0.3*AE55</f>
        <v>30000000</v>
      </c>
      <c r="AK55" s="208"/>
      <c r="AL55" s="188">
        <f>0.7*AE55</f>
        <v>70000000</v>
      </c>
      <c r="AM55" s="186"/>
      <c r="AN55" s="208"/>
      <c r="AO55" s="183"/>
      <c r="AP55" s="183"/>
      <c r="AQ55" s="183"/>
      <c r="AR55" s="183"/>
      <c r="AS55" s="272"/>
      <c r="AT55" s="155"/>
      <c r="AU55" s="157">
        <f t="shared" si="2"/>
        <v>100000000</v>
      </c>
    </row>
    <row r="56" spans="2:47" hidden="1" x14ac:dyDescent="0.25">
      <c r="B56" s="83"/>
      <c r="C56" s="82"/>
      <c r="D56" s="82"/>
      <c r="E56" s="82"/>
      <c r="F56" s="82"/>
      <c r="G56" s="123">
        <f>+G55+1</f>
        <v>2</v>
      </c>
      <c r="H56" s="75" t="s">
        <v>95</v>
      </c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19"/>
      <c r="AD56" s="31"/>
      <c r="AE56" s="74">
        <v>50000000</v>
      </c>
      <c r="AF56" s="127">
        <f t="shared" si="5"/>
        <v>0.37893156418269891</v>
      </c>
      <c r="AG56" s="127"/>
      <c r="AH56" s="188"/>
      <c r="AI56" s="190"/>
      <c r="AJ56" s="188">
        <f t="shared" si="6"/>
        <v>15000000</v>
      </c>
      <c r="AK56" s="303"/>
      <c r="AL56" s="188">
        <f>0.7*AE56</f>
        <v>35000000</v>
      </c>
      <c r="AM56" s="208"/>
      <c r="AN56" s="208"/>
      <c r="AO56" s="185"/>
      <c r="AP56" s="183"/>
      <c r="AQ56" s="185"/>
      <c r="AR56" s="185"/>
      <c r="AS56" s="272"/>
      <c r="AT56" s="155"/>
      <c r="AU56" s="157">
        <f t="shared" si="2"/>
        <v>50000000</v>
      </c>
    </row>
    <row r="57" spans="2:47" hidden="1" x14ac:dyDescent="0.25">
      <c r="B57" s="83"/>
      <c r="C57" s="82"/>
      <c r="D57" s="82"/>
      <c r="E57" s="82"/>
      <c r="F57" s="82"/>
      <c r="G57" s="123">
        <f t="shared" ref="G57:G84" si="7">+G56+1</f>
        <v>3</v>
      </c>
      <c r="H57" s="75" t="s">
        <v>96</v>
      </c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19"/>
      <c r="AD57" s="31"/>
      <c r="AE57" s="74">
        <v>110000000</v>
      </c>
      <c r="AF57" s="127">
        <f t="shared" si="5"/>
        <v>0.83364944120193751</v>
      </c>
      <c r="AG57" s="127"/>
      <c r="AH57" s="196"/>
      <c r="AI57" s="184"/>
      <c r="AJ57" s="188">
        <f t="shared" si="6"/>
        <v>33000000</v>
      </c>
      <c r="AK57" s="208"/>
      <c r="AL57" s="188">
        <f>0.5*AE57-(0.5*AJ57)</f>
        <v>38500000</v>
      </c>
      <c r="AM57" s="188">
        <f>+AL57</f>
        <v>38500000</v>
      </c>
      <c r="AN57" s="183"/>
      <c r="AO57" s="183"/>
      <c r="AP57" s="183"/>
      <c r="AQ57" s="185"/>
      <c r="AR57" s="185"/>
      <c r="AS57" s="272"/>
      <c r="AT57" s="155"/>
      <c r="AU57" s="157">
        <f t="shared" si="2"/>
        <v>110000000</v>
      </c>
    </row>
    <row r="58" spans="2:47" hidden="1" x14ac:dyDescent="0.25">
      <c r="B58" s="83"/>
      <c r="C58" s="82"/>
      <c r="D58" s="82"/>
      <c r="E58" s="82"/>
      <c r="F58" s="82"/>
      <c r="G58" s="123">
        <f t="shared" si="7"/>
        <v>4</v>
      </c>
      <c r="H58" s="75" t="s">
        <v>97</v>
      </c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19"/>
      <c r="AD58" s="31"/>
      <c r="AE58" s="74">
        <v>50000000</v>
      </c>
      <c r="AF58" s="127">
        <f t="shared" si="5"/>
        <v>0.37893156418269891</v>
      </c>
      <c r="AG58" s="127"/>
      <c r="AH58" s="196"/>
      <c r="AI58" s="184"/>
      <c r="AJ58" s="188">
        <f t="shared" si="6"/>
        <v>15000000</v>
      </c>
      <c r="AK58" s="303"/>
      <c r="AL58" s="188">
        <f>0.7*AE58</f>
        <v>35000000</v>
      </c>
      <c r="AM58" s="208"/>
      <c r="AN58" s="183"/>
      <c r="AO58" s="183"/>
      <c r="AP58" s="185"/>
      <c r="AQ58" s="185"/>
      <c r="AR58" s="185"/>
      <c r="AS58" s="272"/>
      <c r="AT58" s="155"/>
      <c r="AU58" s="157">
        <f t="shared" si="2"/>
        <v>50000000</v>
      </c>
    </row>
    <row r="59" spans="2:47" hidden="1" x14ac:dyDescent="0.25">
      <c r="B59" s="83"/>
      <c r="C59" s="82"/>
      <c r="D59" s="82"/>
      <c r="E59" s="82"/>
      <c r="F59" s="82"/>
      <c r="G59" s="123">
        <f t="shared" si="7"/>
        <v>5</v>
      </c>
      <c r="H59" s="75" t="s">
        <v>98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19"/>
      <c r="AD59" s="31"/>
      <c r="AE59" s="74">
        <v>50000000</v>
      </c>
      <c r="AF59" s="127">
        <f t="shared" si="5"/>
        <v>0.37893156418269891</v>
      </c>
      <c r="AG59" s="127"/>
      <c r="AH59" s="196"/>
      <c r="AI59" s="184"/>
      <c r="AJ59" s="188">
        <f t="shared" si="6"/>
        <v>15000000</v>
      </c>
      <c r="AK59" s="303"/>
      <c r="AL59" s="188">
        <f>0.7*AE59</f>
        <v>35000000</v>
      </c>
      <c r="AM59" s="208"/>
      <c r="AN59" s="183"/>
      <c r="AO59" s="183"/>
      <c r="AP59" s="185"/>
      <c r="AQ59" s="185"/>
      <c r="AR59" s="185"/>
      <c r="AS59" s="272"/>
      <c r="AT59" s="155"/>
      <c r="AU59" s="157">
        <f t="shared" si="2"/>
        <v>50000000</v>
      </c>
    </row>
    <row r="60" spans="2:47" hidden="1" x14ac:dyDescent="0.25">
      <c r="B60" s="83"/>
      <c r="C60" s="82"/>
      <c r="D60" s="82"/>
      <c r="E60" s="82"/>
      <c r="F60" s="82"/>
      <c r="G60" s="123">
        <f t="shared" si="7"/>
        <v>6</v>
      </c>
      <c r="H60" s="75" t="s">
        <v>99</v>
      </c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19"/>
      <c r="AD60" s="31"/>
      <c r="AE60" s="74">
        <v>50000000</v>
      </c>
      <c r="AF60" s="127">
        <f t="shared" si="5"/>
        <v>0.37893156418269891</v>
      </c>
      <c r="AG60" s="127"/>
      <c r="AH60" s="196"/>
      <c r="AI60" s="184"/>
      <c r="AJ60" s="188">
        <f t="shared" si="6"/>
        <v>15000000</v>
      </c>
      <c r="AK60" s="303"/>
      <c r="AL60" s="188">
        <f>0.7*AE60</f>
        <v>35000000</v>
      </c>
      <c r="AM60" s="208"/>
      <c r="AN60" s="183"/>
      <c r="AO60" s="183"/>
      <c r="AP60" s="185"/>
      <c r="AQ60" s="185"/>
      <c r="AR60" s="185"/>
      <c r="AS60" s="272"/>
      <c r="AT60" s="155"/>
      <c r="AU60" s="157">
        <f t="shared" si="2"/>
        <v>50000000</v>
      </c>
    </row>
    <row r="61" spans="2:47" hidden="1" x14ac:dyDescent="0.25">
      <c r="B61" s="83"/>
      <c r="C61" s="82"/>
      <c r="D61" s="82"/>
      <c r="E61" s="82"/>
      <c r="F61" s="82"/>
      <c r="G61" s="123">
        <f t="shared" si="7"/>
        <v>7</v>
      </c>
      <c r="H61" s="75" t="s">
        <v>100</v>
      </c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19"/>
      <c r="AD61" s="31"/>
      <c r="AE61" s="74">
        <v>48500000</v>
      </c>
      <c r="AF61" s="127">
        <f t="shared" si="5"/>
        <v>0.36756361725721792</v>
      </c>
      <c r="AG61" s="127"/>
      <c r="AH61" s="196"/>
      <c r="AI61" s="184"/>
      <c r="AJ61" s="188">
        <f t="shared" si="6"/>
        <v>14550000</v>
      </c>
      <c r="AK61" s="303"/>
      <c r="AL61" s="188">
        <f>0.7*AE61</f>
        <v>33950000</v>
      </c>
      <c r="AM61" s="208"/>
      <c r="AN61" s="183"/>
      <c r="AO61" s="183"/>
      <c r="AP61" s="185"/>
      <c r="AQ61" s="185"/>
      <c r="AR61" s="185"/>
      <c r="AS61" s="272"/>
      <c r="AT61" s="155"/>
      <c r="AU61" s="157">
        <f t="shared" si="2"/>
        <v>48500000</v>
      </c>
    </row>
    <row r="62" spans="2:47" hidden="1" x14ac:dyDescent="0.25">
      <c r="B62" s="83"/>
      <c r="C62" s="82"/>
      <c r="D62" s="82"/>
      <c r="E62" s="82"/>
      <c r="F62" s="82"/>
      <c r="G62" s="123">
        <f t="shared" si="7"/>
        <v>8</v>
      </c>
      <c r="H62" s="75" t="s">
        <v>101</v>
      </c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19"/>
      <c r="AD62" s="31"/>
      <c r="AE62" s="74">
        <v>100000000</v>
      </c>
      <c r="AF62" s="127">
        <f t="shared" si="5"/>
        <v>0.75786312836539782</v>
      </c>
      <c r="AG62" s="127"/>
      <c r="AH62" s="196"/>
      <c r="AI62" s="184"/>
      <c r="AJ62" s="188">
        <f t="shared" si="6"/>
        <v>30000000</v>
      </c>
      <c r="AK62" s="303"/>
      <c r="AL62" s="188">
        <f>0.7*AE62</f>
        <v>70000000</v>
      </c>
      <c r="AM62" s="208"/>
      <c r="AN62" s="183"/>
      <c r="AO62" s="183"/>
      <c r="AP62" s="183"/>
      <c r="AQ62" s="185"/>
      <c r="AR62" s="185"/>
      <c r="AS62" s="272"/>
      <c r="AT62" s="155"/>
      <c r="AU62" s="157">
        <f t="shared" si="2"/>
        <v>100000000</v>
      </c>
    </row>
    <row r="63" spans="2:47" hidden="1" x14ac:dyDescent="0.25">
      <c r="B63" s="83"/>
      <c r="C63" s="82"/>
      <c r="D63" s="82"/>
      <c r="E63" s="82"/>
      <c r="F63" s="82"/>
      <c r="G63" s="123">
        <f t="shared" si="7"/>
        <v>9</v>
      </c>
      <c r="H63" s="75" t="s">
        <v>102</v>
      </c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19"/>
      <c r="AD63" s="31"/>
      <c r="AE63" s="74">
        <v>150000000</v>
      </c>
      <c r="AF63" s="127">
        <f t="shared" si="5"/>
        <v>1.1367946925480967</v>
      </c>
      <c r="AG63" s="127"/>
      <c r="AH63" s="196"/>
      <c r="AI63" s="184"/>
      <c r="AJ63" s="188">
        <f t="shared" si="6"/>
        <v>45000000</v>
      </c>
      <c r="AK63" s="303"/>
      <c r="AL63" s="188">
        <f>0.5*AE63-(0.5*AJ63)</f>
        <v>52500000</v>
      </c>
      <c r="AM63" s="188">
        <f>+AL63</f>
        <v>52500000</v>
      </c>
      <c r="AN63" s="183"/>
      <c r="AO63" s="183"/>
      <c r="AP63" s="183"/>
      <c r="AQ63" s="185"/>
      <c r="AR63" s="185"/>
      <c r="AS63" s="272"/>
      <c r="AT63" s="155"/>
      <c r="AU63" s="157">
        <f t="shared" si="2"/>
        <v>150000000</v>
      </c>
    </row>
    <row r="64" spans="2:47" hidden="1" x14ac:dyDescent="0.25">
      <c r="B64" s="83"/>
      <c r="C64" s="82"/>
      <c r="D64" s="82"/>
      <c r="E64" s="82"/>
      <c r="F64" s="82"/>
      <c r="G64" s="123">
        <f t="shared" si="7"/>
        <v>10</v>
      </c>
      <c r="H64" s="75" t="s">
        <v>103</v>
      </c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19"/>
      <c r="AD64" s="31"/>
      <c r="AE64" s="74">
        <v>50000000</v>
      </c>
      <c r="AF64" s="127">
        <f t="shared" si="5"/>
        <v>0.37893156418269891</v>
      </c>
      <c r="AG64" s="127"/>
      <c r="AH64" s="196"/>
      <c r="AI64" s="184"/>
      <c r="AJ64" s="188">
        <f t="shared" si="6"/>
        <v>15000000</v>
      </c>
      <c r="AK64" s="303"/>
      <c r="AL64" s="188">
        <f>0.7*AE64</f>
        <v>35000000</v>
      </c>
      <c r="AM64" s="208"/>
      <c r="AN64" s="183"/>
      <c r="AO64" s="183"/>
      <c r="AP64" s="183"/>
      <c r="AQ64" s="185"/>
      <c r="AR64" s="185"/>
      <c r="AS64" s="272"/>
      <c r="AT64" s="155"/>
      <c r="AU64" s="157">
        <f t="shared" si="2"/>
        <v>50000000</v>
      </c>
    </row>
    <row r="65" spans="2:47" hidden="1" x14ac:dyDescent="0.25">
      <c r="B65" s="83"/>
      <c r="C65" s="82"/>
      <c r="D65" s="82"/>
      <c r="E65" s="82"/>
      <c r="F65" s="82"/>
      <c r="G65" s="123">
        <f t="shared" si="7"/>
        <v>11</v>
      </c>
      <c r="H65" s="75" t="s">
        <v>104</v>
      </c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19"/>
      <c r="AD65" s="31"/>
      <c r="AE65" s="74">
        <v>135000000</v>
      </c>
      <c r="AF65" s="127">
        <f t="shared" si="5"/>
        <v>1.023115223293287</v>
      </c>
      <c r="AG65" s="127"/>
      <c r="AH65" s="196"/>
      <c r="AI65" s="184"/>
      <c r="AJ65" s="188">
        <f t="shared" si="6"/>
        <v>40500000</v>
      </c>
      <c r="AK65" s="303"/>
      <c r="AL65" s="188">
        <f>0.5*AE65-(0.5*AJ65)</f>
        <v>47250000</v>
      </c>
      <c r="AM65" s="188">
        <f>+AL65</f>
        <v>47250000</v>
      </c>
      <c r="AN65" s="208"/>
      <c r="AO65" s="183"/>
      <c r="AP65" s="183"/>
      <c r="AQ65" s="185"/>
      <c r="AR65" s="185"/>
      <c r="AS65" s="272"/>
      <c r="AT65" s="155"/>
      <c r="AU65" s="157">
        <f t="shared" si="2"/>
        <v>135000000</v>
      </c>
    </row>
    <row r="66" spans="2:47" hidden="1" x14ac:dyDescent="0.25">
      <c r="B66" s="83"/>
      <c r="C66" s="82"/>
      <c r="D66" s="82"/>
      <c r="E66" s="82"/>
      <c r="F66" s="82"/>
      <c r="G66" s="123">
        <f t="shared" si="7"/>
        <v>12</v>
      </c>
      <c r="H66" s="75" t="s">
        <v>105</v>
      </c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19"/>
      <c r="AD66" s="31"/>
      <c r="AE66" s="74">
        <v>90000000</v>
      </c>
      <c r="AF66" s="127">
        <f t="shared" si="5"/>
        <v>0.68207681552885802</v>
      </c>
      <c r="AG66" s="127"/>
      <c r="AH66" s="196"/>
      <c r="AI66" s="184"/>
      <c r="AJ66" s="188">
        <f t="shared" si="6"/>
        <v>27000000</v>
      </c>
      <c r="AK66" s="303"/>
      <c r="AL66" s="188">
        <f>0.7*AE66</f>
        <v>62999999.999999993</v>
      </c>
      <c r="AM66" s="208"/>
      <c r="AN66" s="208"/>
      <c r="AO66" s="183"/>
      <c r="AP66" s="183"/>
      <c r="AQ66" s="185"/>
      <c r="AR66" s="185"/>
      <c r="AS66" s="272"/>
      <c r="AT66" s="155"/>
      <c r="AU66" s="157">
        <f t="shared" si="2"/>
        <v>90000000</v>
      </c>
    </row>
    <row r="67" spans="2:47" hidden="1" x14ac:dyDescent="0.25">
      <c r="B67" s="83"/>
      <c r="C67" s="82"/>
      <c r="D67" s="82"/>
      <c r="E67" s="82"/>
      <c r="F67" s="82"/>
      <c r="G67" s="123">
        <f t="shared" si="7"/>
        <v>13</v>
      </c>
      <c r="H67" s="75" t="s">
        <v>106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19"/>
      <c r="AD67" s="31"/>
      <c r="AE67" s="74">
        <v>50000000</v>
      </c>
      <c r="AF67" s="127">
        <f t="shared" si="5"/>
        <v>0.37893156418269891</v>
      </c>
      <c r="AG67" s="127"/>
      <c r="AH67" s="196"/>
      <c r="AI67" s="184"/>
      <c r="AJ67" s="188">
        <f t="shared" si="6"/>
        <v>15000000</v>
      </c>
      <c r="AK67" s="303"/>
      <c r="AL67" s="188">
        <f>0.7*AE67</f>
        <v>35000000</v>
      </c>
      <c r="AM67" s="208"/>
      <c r="AN67" s="183"/>
      <c r="AO67" s="183"/>
      <c r="AP67" s="183"/>
      <c r="AQ67" s="185"/>
      <c r="AR67" s="185"/>
      <c r="AS67" s="272"/>
      <c r="AT67" s="155"/>
      <c r="AU67" s="157">
        <f t="shared" si="2"/>
        <v>50000000</v>
      </c>
    </row>
    <row r="68" spans="2:47" hidden="1" x14ac:dyDescent="0.25">
      <c r="B68" s="83"/>
      <c r="C68" s="82"/>
      <c r="D68" s="82"/>
      <c r="E68" s="82"/>
      <c r="F68" s="82"/>
      <c r="G68" s="123">
        <f t="shared" si="7"/>
        <v>14</v>
      </c>
      <c r="H68" s="75" t="s">
        <v>107</v>
      </c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19"/>
      <c r="AD68" s="31"/>
      <c r="AE68" s="74">
        <v>50000000</v>
      </c>
      <c r="AF68" s="127">
        <f t="shared" si="5"/>
        <v>0.37893156418269891</v>
      </c>
      <c r="AG68" s="127"/>
      <c r="AH68" s="196"/>
      <c r="AI68" s="190"/>
      <c r="AJ68" s="188">
        <f t="shared" si="6"/>
        <v>15000000</v>
      </c>
      <c r="AK68" s="303"/>
      <c r="AL68" s="188">
        <f>0.7*AE68</f>
        <v>35000000</v>
      </c>
      <c r="AM68" s="208"/>
      <c r="AN68" s="208"/>
      <c r="AO68" s="183"/>
      <c r="AP68" s="183"/>
      <c r="AQ68" s="183"/>
      <c r="AR68" s="183"/>
      <c r="AS68" s="272"/>
      <c r="AT68" s="155"/>
      <c r="AU68" s="157">
        <f t="shared" si="2"/>
        <v>50000000</v>
      </c>
    </row>
    <row r="69" spans="2:47" hidden="1" x14ac:dyDescent="0.25">
      <c r="B69" s="83"/>
      <c r="C69" s="82"/>
      <c r="D69" s="82"/>
      <c r="E69" s="82"/>
      <c r="F69" s="82"/>
      <c r="G69" s="123">
        <f t="shared" si="7"/>
        <v>15</v>
      </c>
      <c r="H69" s="75" t="s">
        <v>108</v>
      </c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19"/>
      <c r="AD69" s="31"/>
      <c r="AE69" s="74">
        <v>100000000</v>
      </c>
      <c r="AF69" s="127">
        <f t="shared" si="5"/>
        <v>0.75786312836539782</v>
      </c>
      <c r="AG69" s="127"/>
      <c r="AH69" s="196"/>
      <c r="AI69" s="190"/>
      <c r="AJ69" s="188">
        <f t="shared" si="6"/>
        <v>30000000</v>
      </c>
      <c r="AK69" s="303"/>
      <c r="AL69" s="188">
        <f>0.7*AE69</f>
        <v>70000000</v>
      </c>
      <c r="AM69" s="208"/>
      <c r="AN69" s="183"/>
      <c r="AO69" s="183"/>
      <c r="AP69" s="183"/>
      <c r="AQ69" s="183"/>
      <c r="AR69" s="183"/>
      <c r="AS69" s="272"/>
      <c r="AT69" s="155"/>
      <c r="AU69" s="157">
        <f t="shared" si="2"/>
        <v>100000000</v>
      </c>
    </row>
    <row r="70" spans="2:47" hidden="1" x14ac:dyDescent="0.25">
      <c r="B70" s="83"/>
      <c r="C70" s="82"/>
      <c r="D70" s="82"/>
      <c r="E70" s="82"/>
      <c r="F70" s="82"/>
      <c r="G70" s="123">
        <f t="shared" si="7"/>
        <v>16</v>
      </c>
      <c r="H70" s="75" t="s">
        <v>109</v>
      </c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19"/>
      <c r="AD70" s="31"/>
      <c r="AE70" s="74">
        <v>150000000</v>
      </c>
      <c r="AF70" s="127">
        <f t="shared" si="5"/>
        <v>1.1367946925480967</v>
      </c>
      <c r="AG70" s="127"/>
      <c r="AH70" s="196"/>
      <c r="AI70" s="190"/>
      <c r="AJ70" s="188">
        <f t="shared" si="6"/>
        <v>45000000</v>
      </c>
      <c r="AK70" s="303"/>
      <c r="AL70" s="188">
        <f>0.5*AE70-(0.5*AJ70)</f>
        <v>52500000</v>
      </c>
      <c r="AM70" s="188">
        <f>+AL70</f>
        <v>52500000</v>
      </c>
      <c r="AN70" s="183"/>
      <c r="AO70" s="183"/>
      <c r="AP70" s="183"/>
      <c r="AQ70" s="183"/>
      <c r="AR70" s="183"/>
      <c r="AS70" s="272"/>
      <c r="AT70" s="155"/>
      <c r="AU70" s="157">
        <f t="shared" si="2"/>
        <v>150000000</v>
      </c>
    </row>
    <row r="71" spans="2:47" hidden="1" x14ac:dyDescent="0.25">
      <c r="B71" s="83"/>
      <c r="C71" s="82"/>
      <c r="D71" s="82"/>
      <c r="E71" s="82"/>
      <c r="F71" s="82"/>
      <c r="G71" s="123">
        <f t="shared" si="7"/>
        <v>17</v>
      </c>
      <c r="H71" s="75" t="s">
        <v>110</v>
      </c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19"/>
      <c r="AD71" s="31"/>
      <c r="AE71" s="74">
        <v>150000000</v>
      </c>
      <c r="AF71" s="127">
        <f t="shared" si="5"/>
        <v>1.1367946925480967</v>
      </c>
      <c r="AG71" s="127"/>
      <c r="AH71" s="196"/>
      <c r="AI71" s="190"/>
      <c r="AJ71" s="188">
        <f t="shared" si="6"/>
        <v>45000000</v>
      </c>
      <c r="AK71" s="303"/>
      <c r="AL71" s="188">
        <f>0.5*AE71-(0.5*AJ71)</f>
        <v>52500000</v>
      </c>
      <c r="AM71" s="188">
        <f>+AL71</f>
        <v>52500000</v>
      </c>
      <c r="AN71" s="183"/>
      <c r="AO71" s="183"/>
      <c r="AP71" s="183"/>
      <c r="AQ71" s="183"/>
      <c r="AR71" s="183"/>
      <c r="AS71" s="272"/>
      <c r="AT71" s="155"/>
      <c r="AU71" s="157">
        <f t="shared" si="2"/>
        <v>150000000</v>
      </c>
    </row>
    <row r="72" spans="2:47" hidden="1" x14ac:dyDescent="0.25">
      <c r="B72" s="83"/>
      <c r="C72" s="82"/>
      <c r="D72" s="82"/>
      <c r="E72" s="82"/>
      <c r="F72" s="82"/>
      <c r="G72" s="123">
        <f t="shared" si="7"/>
        <v>18</v>
      </c>
      <c r="H72" s="75" t="s">
        <v>111</v>
      </c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19"/>
      <c r="AD72" s="31"/>
      <c r="AE72" s="74">
        <v>131174000</v>
      </c>
      <c r="AF72" s="127">
        <f t="shared" si="5"/>
        <v>0.99411938000202693</v>
      </c>
      <c r="AG72" s="127"/>
      <c r="AH72" s="196"/>
      <c r="AI72" s="190"/>
      <c r="AJ72" s="188">
        <f t="shared" si="6"/>
        <v>39352200</v>
      </c>
      <c r="AK72" s="303"/>
      <c r="AL72" s="188">
        <f>0.5*AE72-(0.5*AJ72)</f>
        <v>45910900</v>
      </c>
      <c r="AM72" s="188">
        <f>+AL72</f>
        <v>45910900</v>
      </c>
      <c r="AN72" s="183"/>
      <c r="AO72" s="183"/>
      <c r="AP72" s="183"/>
      <c r="AQ72" s="183"/>
      <c r="AR72" s="183"/>
      <c r="AS72" s="272"/>
      <c r="AT72" s="155"/>
      <c r="AU72" s="157">
        <f t="shared" si="2"/>
        <v>131174000</v>
      </c>
    </row>
    <row r="73" spans="2:47" hidden="1" x14ac:dyDescent="0.25">
      <c r="B73" s="83"/>
      <c r="C73" s="82"/>
      <c r="D73" s="82"/>
      <c r="E73" s="82"/>
      <c r="F73" s="82"/>
      <c r="G73" s="123">
        <f t="shared" si="7"/>
        <v>19</v>
      </c>
      <c r="H73" s="75" t="s">
        <v>112</v>
      </c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19"/>
      <c r="AD73" s="31"/>
      <c r="AE73" s="74">
        <v>100000000</v>
      </c>
      <c r="AF73" s="127">
        <f t="shared" si="5"/>
        <v>0.75786312836539782</v>
      </c>
      <c r="AG73" s="127"/>
      <c r="AH73" s="196"/>
      <c r="AI73" s="190"/>
      <c r="AJ73" s="188">
        <f t="shared" si="6"/>
        <v>30000000</v>
      </c>
      <c r="AK73" s="303"/>
      <c r="AL73" s="188">
        <f t="shared" ref="AL73:AL79" si="8">0.7*AE73</f>
        <v>70000000</v>
      </c>
      <c r="AM73" s="208"/>
      <c r="AN73" s="183"/>
      <c r="AO73" s="183"/>
      <c r="AP73" s="183"/>
      <c r="AQ73" s="183"/>
      <c r="AR73" s="183"/>
      <c r="AS73" s="272"/>
      <c r="AT73" s="155"/>
      <c r="AU73" s="157">
        <f t="shared" si="2"/>
        <v>100000000</v>
      </c>
    </row>
    <row r="74" spans="2:47" hidden="1" x14ac:dyDescent="0.25">
      <c r="B74" s="83"/>
      <c r="C74" s="82"/>
      <c r="D74" s="82"/>
      <c r="E74" s="82"/>
      <c r="F74" s="82"/>
      <c r="G74" s="123">
        <f t="shared" si="7"/>
        <v>20</v>
      </c>
      <c r="H74" s="75" t="s">
        <v>113</v>
      </c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19"/>
      <c r="AD74" s="31"/>
      <c r="AE74" s="74">
        <v>100000000</v>
      </c>
      <c r="AF74" s="127">
        <f t="shared" si="5"/>
        <v>0.75786312836539782</v>
      </c>
      <c r="AG74" s="127"/>
      <c r="AH74" s="196"/>
      <c r="AI74" s="190"/>
      <c r="AJ74" s="188">
        <f t="shared" si="6"/>
        <v>30000000</v>
      </c>
      <c r="AK74" s="303"/>
      <c r="AL74" s="188">
        <f t="shared" si="8"/>
        <v>70000000</v>
      </c>
      <c r="AM74" s="208"/>
      <c r="AN74" s="183"/>
      <c r="AO74" s="183"/>
      <c r="AP74" s="183"/>
      <c r="AQ74" s="183"/>
      <c r="AR74" s="183"/>
      <c r="AS74" s="272"/>
      <c r="AT74" s="155"/>
      <c r="AU74" s="157">
        <f t="shared" si="2"/>
        <v>100000000</v>
      </c>
    </row>
    <row r="75" spans="2:47" hidden="1" x14ac:dyDescent="0.25">
      <c r="B75" s="83"/>
      <c r="C75" s="82"/>
      <c r="D75" s="82"/>
      <c r="E75" s="82"/>
      <c r="F75" s="82"/>
      <c r="G75" s="123">
        <f t="shared" si="7"/>
        <v>21</v>
      </c>
      <c r="H75" s="75" t="s">
        <v>114</v>
      </c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19"/>
      <c r="AD75" s="31"/>
      <c r="AE75" s="74">
        <v>50000000</v>
      </c>
      <c r="AF75" s="127">
        <f t="shared" si="5"/>
        <v>0.37893156418269891</v>
      </c>
      <c r="AG75" s="127"/>
      <c r="AH75" s="196"/>
      <c r="AI75" s="190"/>
      <c r="AJ75" s="188">
        <f t="shared" si="6"/>
        <v>15000000</v>
      </c>
      <c r="AK75" s="303"/>
      <c r="AL75" s="188">
        <f t="shared" si="8"/>
        <v>35000000</v>
      </c>
      <c r="AM75" s="303"/>
      <c r="AN75" s="186"/>
      <c r="AO75" s="183"/>
      <c r="AP75" s="183"/>
      <c r="AQ75" s="183"/>
      <c r="AR75" s="183"/>
      <c r="AS75" s="272"/>
      <c r="AT75" s="155"/>
      <c r="AU75" s="157">
        <f t="shared" si="2"/>
        <v>50000000</v>
      </c>
    </row>
    <row r="76" spans="2:47" hidden="1" x14ac:dyDescent="0.25">
      <c r="B76" s="83"/>
      <c r="C76" s="82"/>
      <c r="D76" s="82"/>
      <c r="E76" s="82"/>
      <c r="F76" s="82"/>
      <c r="G76" s="123">
        <f t="shared" si="7"/>
        <v>22</v>
      </c>
      <c r="H76" s="75" t="s">
        <v>230</v>
      </c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19"/>
      <c r="AD76" s="31"/>
      <c r="AE76" s="74">
        <v>50000000</v>
      </c>
      <c r="AF76" s="127">
        <f t="shared" si="5"/>
        <v>0.37893156418269891</v>
      </c>
      <c r="AG76" s="127"/>
      <c r="AH76" s="196"/>
      <c r="AI76" s="190"/>
      <c r="AJ76" s="188">
        <f t="shared" si="6"/>
        <v>15000000</v>
      </c>
      <c r="AK76" s="303"/>
      <c r="AL76" s="188">
        <f t="shared" si="8"/>
        <v>35000000</v>
      </c>
      <c r="AM76" s="208"/>
      <c r="AN76" s="208"/>
      <c r="AO76" s="183"/>
      <c r="AP76" s="183"/>
      <c r="AQ76" s="183"/>
      <c r="AR76" s="183"/>
      <c r="AS76" s="272"/>
      <c r="AT76" s="155"/>
      <c r="AU76" s="157">
        <f t="shared" si="2"/>
        <v>50000000</v>
      </c>
    </row>
    <row r="77" spans="2:47" hidden="1" x14ac:dyDescent="0.25">
      <c r="B77" s="83"/>
      <c r="C77" s="82"/>
      <c r="D77" s="82"/>
      <c r="E77" s="82"/>
      <c r="F77" s="82"/>
      <c r="G77" s="123">
        <f t="shared" si="7"/>
        <v>23</v>
      </c>
      <c r="H77" s="75" t="s">
        <v>231</v>
      </c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19"/>
      <c r="AD77" s="31"/>
      <c r="AE77" s="74">
        <v>50000000</v>
      </c>
      <c r="AF77" s="127">
        <f t="shared" si="5"/>
        <v>0.37893156418269891</v>
      </c>
      <c r="AG77" s="127"/>
      <c r="AH77" s="196"/>
      <c r="AI77" s="190"/>
      <c r="AJ77" s="188">
        <f t="shared" si="6"/>
        <v>15000000</v>
      </c>
      <c r="AK77" s="303"/>
      <c r="AL77" s="188">
        <f t="shared" si="8"/>
        <v>35000000</v>
      </c>
      <c r="AM77" s="208"/>
      <c r="AN77" s="208"/>
      <c r="AO77" s="300"/>
      <c r="AP77" s="300"/>
      <c r="AQ77" s="183"/>
      <c r="AR77" s="183"/>
      <c r="AS77" s="272"/>
      <c r="AT77" s="155"/>
      <c r="AU77" s="157">
        <f t="shared" si="2"/>
        <v>50000000</v>
      </c>
    </row>
    <row r="78" spans="2:47" hidden="1" x14ac:dyDescent="0.25">
      <c r="B78" s="83"/>
      <c r="C78" s="82"/>
      <c r="D78" s="82"/>
      <c r="E78" s="82"/>
      <c r="F78" s="82"/>
      <c r="G78" s="123">
        <f t="shared" si="7"/>
        <v>24</v>
      </c>
      <c r="H78" s="75" t="s">
        <v>232</v>
      </c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19"/>
      <c r="AD78" s="31"/>
      <c r="AE78" s="74">
        <v>50000000</v>
      </c>
      <c r="AF78" s="127">
        <f t="shared" si="5"/>
        <v>0.37893156418269891</v>
      </c>
      <c r="AG78" s="127"/>
      <c r="AH78" s="196"/>
      <c r="AI78" s="190"/>
      <c r="AJ78" s="188">
        <f t="shared" si="6"/>
        <v>15000000</v>
      </c>
      <c r="AK78" s="303"/>
      <c r="AL78" s="188">
        <f t="shared" si="8"/>
        <v>35000000</v>
      </c>
      <c r="AM78" s="208"/>
      <c r="AN78" s="208"/>
      <c r="AO78" s="183"/>
      <c r="AP78" s="183"/>
      <c r="AQ78" s="183"/>
      <c r="AR78" s="183"/>
      <c r="AS78" s="272"/>
      <c r="AT78" s="155"/>
      <c r="AU78" s="157">
        <f t="shared" si="2"/>
        <v>50000000</v>
      </c>
    </row>
    <row r="79" spans="2:47" hidden="1" x14ac:dyDescent="0.25">
      <c r="B79" s="83"/>
      <c r="C79" s="82"/>
      <c r="D79" s="82"/>
      <c r="E79" s="82"/>
      <c r="F79" s="82"/>
      <c r="G79" s="123">
        <f t="shared" si="7"/>
        <v>25</v>
      </c>
      <c r="H79" s="75" t="s">
        <v>233</v>
      </c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19"/>
      <c r="AD79" s="31"/>
      <c r="AE79" s="74">
        <v>50000000</v>
      </c>
      <c r="AF79" s="127">
        <f t="shared" si="5"/>
        <v>0.37893156418269891</v>
      </c>
      <c r="AG79" s="127"/>
      <c r="AH79" s="196"/>
      <c r="AI79" s="190"/>
      <c r="AJ79" s="188">
        <f t="shared" si="6"/>
        <v>15000000</v>
      </c>
      <c r="AK79" s="189"/>
      <c r="AL79" s="188">
        <f t="shared" si="8"/>
        <v>35000000</v>
      </c>
      <c r="AM79" s="208"/>
      <c r="AN79" s="208"/>
      <c r="AO79" s="183"/>
      <c r="AP79" s="183"/>
      <c r="AQ79" s="183"/>
      <c r="AR79" s="183"/>
      <c r="AS79" s="272"/>
      <c r="AT79" s="155"/>
      <c r="AU79" s="157">
        <f t="shared" si="2"/>
        <v>50000000</v>
      </c>
    </row>
    <row r="80" spans="2:47" hidden="1" x14ac:dyDescent="0.25">
      <c r="B80" s="83"/>
      <c r="C80" s="82"/>
      <c r="D80" s="82"/>
      <c r="E80" s="82"/>
      <c r="F80" s="82"/>
      <c r="G80" s="123">
        <f t="shared" si="7"/>
        <v>26</v>
      </c>
      <c r="H80" s="75" t="s">
        <v>115</v>
      </c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19"/>
      <c r="AD80" s="31"/>
      <c r="AE80" s="74">
        <v>200000000</v>
      </c>
      <c r="AF80" s="127">
        <f t="shared" si="5"/>
        <v>1.5157262567307956</v>
      </c>
      <c r="AG80" s="127"/>
      <c r="AH80" s="196"/>
      <c r="AI80" s="190"/>
      <c r="AJ80" s="188">
        <f t="shared" si="6"/>
        <v>60000000</v>
      </c>
      <c r="AK80" s="189"/>
      <c r="AL80" s="188">
        <f>0.5*AE80-(0.5*AJ80)</f>
        <v>70000000</v>
      </c>
      <c r="AM80" s="188">
        <f>+AL80</f>
        <v>70000000</v>
      </c>
      <c r="AN80" s="208"/>
      <c r="AO80" s="183"/>
      <c r="AP80" s="183"/>
      <c r="AQ80" s="183"/>
      <c r="AR80" s="183"/>
      <c r="AS80" s="272"/>
      <c r="AT80" s="155"/>
      <c r="AU80" s="157">
        <f t="shared" si="2"/>
        <v>200000000</v>
      </c>
    </row>
    <row r="81" spans="2:47" hidden="1" x14ac:dyDescent="0.25">
      <c r="B81" s="83"/>
      <c r="C81" s="82"/>
      <c r="D81" s="82"/>
      <c r="E81" s="82"/>
      <c r="F81" s="82"/>
      <c r="G81" s="123">
        <f t="shared" si="7"/>
        <v>27</v>
      </c>
      <c r="H81" s="75" t="s">
        <v>116</v>
      </c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19"/>
      <c r="AD81" s="31"/>
      <c r="AE81" s="74">
        <v>200000000</v>
      </c>
      <c r="AF81" s="127">
        <f t="shared" si="5"/>
        <v>1.5157262567307956</v>
      </c>
      <c r="AG81" s="127"/>
      <c r="AH81" s="196"/>
      <c r="AI81" s="190"/>
      <c r="AJ81" s="188">
        <f t="shared" si="6"/>
        <v>60000000</v>
      </c>
      <c r="AK81" s="189"/>
      <c r="AL81" s="188">
        <f>0.5*AE81-(0.5*AJ81)</f>
        <v>70000000</v>
      </c>
      <c r="AM81" s="188">
        <f>+AL81</f>
        <v>70000000</v>
      </c>
      <c r="AN81" s="208"/>
      <c r="AO81" s="183"/>
      <c r="AP81" s="183"/>
      <c r="AQ81" s="183"/>
      <c r="AR81" s="183"/>
      <c r="AS81" s="272"/>
      <c r="AT81" s="155"/>
      <c r="AU81" s="157">
        <f t="shared" si="2"/>
        <v>200000000</v>
      </c>
    </row>
    <row r="82" spans="2:47" hidden="1" x14ac:dyDescent="0.25">
      <c r="B82" s="83"/>
      <c r="C82" s="82"/>
      <c r="D82" s="82"/>
      <c r="E82" s="82"/>
      <c r="F82" s="82"/>
      <c r="G82" s="123">
        <f t="shared" si="7"/>
        <v>28</v>
      </c>
      <c r="H82" s="75" t="s">
        <v>117</v>
      </c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19"/>
      <c r="AD82" s="31"/>
      <c r="AE82" s="74">
        <v>50000000</v>
      </c>
      <c r="AF82" s="127">
        <f t="shared" si="5"/>
        <v>0.37893156418269891</v>
      </c>
      <c r="AG82" s="127"/>
      <c r="AH82" s="196"/>
      <c r="AI82" s="190"/>
      <c r="AJ82" s="188">
        <f t="shared" si="6"/>
        <v>15000000</v>
      </c>
      <c r="AK82" s="189"/>
      <c r="AL82" s="188">
        <f>0.7*AE82</f>
        <v>35000000</v>
      </c>
      <c r="AM82" s="208"/>
      <c r="AN82" s="208"/>
      <c r="AO82" s="183"/>
      <c r="AP82" s="183"/>
      <c r="AQ82" s="183"/>
      <c r="AR82" s="183"/>
      <c r="AS82" s="272"/>
      <c r="AT82" s="155"/>
      <c r="AU82" s="157">
        <f t="shared" si="2"/>
        <v>50000000</v>
      </c>
    </row>
    <row r="83" spans="2:47" hidden="1" x14ac:dyDescent="0.25">
      <c r="B83" s="170"/>
      <c r="C83" s="171"/>
      <c r="D83" s="171"/>
      <c r="E83" s="171"/>
      <c r="F83" s="171"/>
      <c r="G83" s="123">
        <f t="shared" si="7"/>
        <v>29</v>
      </c>
      <c r="H83" s="85" t="s">
        <v>118</v>
      </c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220"/>
      <c r="AD83" s="221"/>
      <c r="AE83" s="74">
        <v>50000000</v>
      </c>
      <c r="AF83" s="127">
        <f t="shared" si="5"/>
        <v>0.37893156418269891</v>
      </c>
      <c r="AG83" s="172"/>
      <c r="AH83" s="222"/>
      <c r="AI83" s="215"/>
      <c r="AJ83" s="188">
        <f t="shared" si="6"/>
        <v>15000000</v>
      </c>
      <c r="AK83" s="189"/>
      <c r="AL83" s="188">
        <f>0.7*AE83</f>
        <v>35000000</v>
      </c>
      <c r="AM83" s="208"/>
      <c r="AN83" s="208"/>
      <c r="AO83" s="216"/>
      <c r="AP83" s="216"/>
      <c r="AQ83" s="216"/>
      <c r="AR83" s="216"/>
      <c r="AS83" s="277"/>
      <c r="AT83" s="155"/>
      <c r="AU83" s="157"/>
    </row>
    <row r="84" spans="2:47" ht="13.8" hidden="1" thickBot="1" x14ac:dyDescent="0.3">
      <c r="B84" s="170"/>
      <c r="C84" s="171"/>
      <c r="D84" s="171"/>
      <c r="E84" s="171"/>
      <c r="F84" s="171"/>
      <c r="G84" s="123">
        <f t="shared" si="7"/>
        <v>30</v>
      </c>
      <c r="H84" s="85" t="s">
        <v>234</v>
      </c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220"/>
      <c r="AD84" s="221"/>
      <c r="AE84" s="74">
        <v>50000000</v>
      </c>
      <c r="AF84" s="172">
        <f t="shared" si="5"/>
        <v>0.37893156418269891</v>
      </c>
      <c r="AG84" s="172"/>
      <c r="AH84" s="222"/>
      <c r="AI84" s="215"/>
      <c r="AJ84" s="188">
        <f t="shared" si="6"/>
        <v>15000000</v>
      </c>
      <c r="AK84" s="189"/>
      <c r="AL84" s="188">
        <f>0.7*AE84</f>
        <v>35000000</v>
      </c>
      <c r="AM84" s="304"/>
      <c r="AN84" s="304"/>
      <c r="AO84" s="216"/>
      <c r="AP84" s="216"/>
      <c r="AQ84" s="216"/>
      <c r="AR84" s="216"/>
      <c r="AS84" s="277"/>
      <c r="AT84" s="155"/>
      <c r="AU84" s="157">
        <f t="shared" si="2"/>
        <v>50000000</v>
      </c>
    </row>
    <row r="85" spans="2:47" ht="13.8" hidden="1" thickTop="1" x14ac:dyDescent="0.25">
      <c r="B85" s="235"/>
      <c r="C85" s="236"/>
      <c r="D85" s="236"/>
      <c r="E85" s="236"/>
      <c r="F85" s="236"/>
      <c r="G85" s="242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  <c r="AA85" s="237"/>
      <c r="AB85" s="237"/>
      <c r="AC85" s="238"/>
      <c r="AD85" s="239"/>
      <c r="AE85" s="257">
        <f>SUM(AH85:AS85)</f>
        <v>2948606000</v>
      </c>
      <c r="AF85" s="240"/>
      <c r="AG85" s="240"/>
      <c r="AH85" s="241">
        <f>SUM(AH16:AH84)</f>
        <v>6530000</v>
      </c>
      <c r="AI85" s="241">
        <f t="shared" ref="AI85:AS85" si="9">SUM(AI16:AI84)</f>
        <v>42500000</v>
      </c>
      <c r="AJ85" s="241">
        <f t="shared" si="9"/>
        <v>814802200</v>
      </c>
      <c r="AK85" s="241">
        <f t="shared" si="9"/>
        <v>44550000</v>
      </c>
      <c r="AL85" s="241">
        <f>SUM(AL16:AL84)</f>
        <v>1464617900</v>
      </c>
      <c r="AM85" s="241">
        <f t="shared" si="9"/>
        <v>450660900</v>
      </c>
      <c r="AN85" s="241">
        <f t="shared" si="9"/>
        <v>51971000</v>
      </c>
      <c r="AO85" s="241">
        <f t="shared" si="9"/>
        <v>28350000</v>
      </c>
      <c r="AP85" s="241">
        <f t="shared" si="9"/>
        <v>27724000</v>
      </c>
      <c r="AQ85" s="241">
        <f t="shared" si="9"/>
        <v>14900000</v>
      </c>
      <c r="AR85" s="241">
        <f t="shared" si="9"/>
        <v>1000000</v>
      </c>
      <c r="AS85" s="278">
        <f t="shared" si="9"/>
        <v>1000000</v>
      </c>
      <c r="AT85" s="155"/>
      <c r="AU85" s="157"/>
    </row>
    <row r="86" spans="2:47" ht="13.8" hidden="1" thickBot="1" x14ac:dyDescent="0.3">
      <c r="B86" s="99"/>
      <c r="C86" s="100"/>
      <c r="D86" s="100"/>
      <c r="E86" s="100"/>
      <c r="F86" s="100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62"/>
      <c r="AD86" s="244"/>
      <c r="AE86" s="266" t="s">
        <v>225</v>
      </c>
      <c r="AF86" s="245"/>
      <c r="AG86" s="245"/>
      <c r="AH86" s="978">
        <f>+AH85+AI85+AJ85</f>
        <v>863832200</v>
      </c>
      <c r="AI86" s="979"/>
      <c r="AJ86" s="258"/>
      <c r="AK86" s="1007">
        <f>+AK85+AL85+AM85</f>
        <v>1959828800</v>
      </c>
      <c r="AL86" s="1008"/>
      <c r="AM86" s="259"/>
      <c r="AN86" s="1009">
        <f>+AN85+AO85+AP85</f>
        <v>108045000</v>
      </c>
      <c r="AO86" s="1010"/>
      <c r="AP86" s="977">
        <f>+AQ85+AR85+AS85</f>
        <v>16900000</v>
      </c>
      <c r="AQ86" s="984"/>
      <c r="AR86" s="261"/>
      <c r="AS86" s="279"/>
      <c r="AT86" s="155"/>
      <c r="AU86" s="157"/>
    </row>
    <row r="87" spans="2:47" hidden="1" x14ac:dyDescent="0.25">
      <c r="B87" s="223" t="s">
        <v>212</v>
      </c>
      <c r="C87" s="224"/>
      <c r="D87" s="224"/>
      <c r="E87" s="224"/>
      <c r="F87" s="224"/>
      <c r="G87" s="225"/>
      <c r="H87" s="226"/>
      <c r="I87" s="226" t="s">
        <v>211</v>
      </c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7"/>
      <c r="AD87" s="228"/>
      <c r="AE87" s="229">
        <f>AE88</f>
        <v>3210321000</v>
      </c>
      <c r="AF87" s="230">
        <f>(AE87/AE$13)*100</f>
        <v>24.329839161171321</v>
      </c>
      <c r="AG87" s="230"/>
      <c r="AH87" s="231"/>
      <c r="AI87" s="232"/>
      <c r="AJ87" s="232"/>
      <c r="AK87" s="231"/>
      <c r="AL87" s="233"/>
      <c r="AM87" s="231"/>
      <c r="AN87" s="231"/>
      <c r="AO87" s="234"/>
      <c r="AP87" s="234"/>
      <c r="AQ87" s="234"/>
      <c r="AR87" s="256"/>
      <c r="AS87" s="280"/>
      <c r="AT87" s="155"/>
      <c r="AU87" s="157">
        <f t="shared" si="2"/>
        <v>0</v>
      </c>
    </row>
    <row r="88" spans="2:47" hidden="1" x14ac:dyDescent="0.25">
      <c r="B88" s="328">
        <v>5</v>
      </c>
      <c r="C88" s="64">
        <v>2</v>
      </c>
      <c r="D88" s="65"/>
      <c r="E88" s="66"/>
      <c r="F88" s="66"/>
      <c r="G88" s="73" t="s">
        <v>120</v>
      </c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86"/>
      <c r="AE88" s="74">
        <f>+AE89</f>
        <v>3210321000</v>
      </c>
      <c r="AF88" s="127">
        <f>(AE88/AE$13)*100</f>
        <v>24.329839161171321</v>
      </c>
      <c r="AG88" s="127"/>
      <c r="AH88" s="188"/>
      <c r="AI88" s="184"/>
      <c r="AJ88" s="190"/>
      <c r="AK88" s="188"/>
      <c r="AL88" s="189"/>
      <c r="AM88" s="186"/>
      <c r="AN88" s="188"/>
      <c r="AO88" s="183"/>
      <c r="AP88" s="185"/>
      <c r="AQ88" s="183"/>
      <c r="AR88" s="183"/>
      <c r="AS88" s="272"/>
      <c r="AT88" s="155"/>
      <c r="AU88" s="157">
        <f t="shared" ref="AU88:AU153" si="10">SUM(AH88:AS88)</f>
        <v>0</v>
      </c>
    </row>
    <row r="89" spans="2:47" hidden="1" x14ac:dyDescent="0.25">
      <c r="B89" s="83">
        <v>5</v>
      </c>
      <c r="C89" s="82">
        <v>2</v>
      </c>
      <c r="D89" s="82">
        <v>2</v>
      </c>
      <c r="E89" s="82"/>
      <c r="F89" s="82" t="s">
        <v>33</v>
      </c>
      <c r="G89" s="44" t="s">
        <v>83</v>
      </c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6"/>
      <c r="AE89" s="34">
        <f>+AE92+AE104+AE106+AE110+AE112+AE118+AE120+AE122+AE124+AE128</f>
        <v>3210321000</v>
      </c>
      <c r="AF89" s="127">
        <f>(AE89/AE$13)*100</f>
        <v>24.329839161171321</v>
      </c>
      <c r="AG89" s="127"/>
      <c r="AH89" s="186"/>
      <c r="AI89" s="184"/>
      <c r="AJ89" s="184"/>
      <c r="AK89" s="186"/>
      <c r="AL89" s="189"/>
      <c r="AM89" s="186"/>
      <c r="AN89" s="186"/>
      <c r="AO89" s="185"/>
      <c r="AP89" s="185"/>
      <c r="AQ89" s="185"/>
      <c r="AR89" s="185"/>
      <c r="AS89" s="272"/>
      <c r="AT89" s="155"/>
      <c r="AU89" s="157">
        <f t="shared" si="10"/>
        <v>0</v>
      </c>
    </row>
    <row r="90" spans="2:47" hidden="1" x14ac:dyDescent="0.25">
      <c r="B90" s="83">
        <v>5</v>
      </c>
      <c r="C90" s="82">
        <v>2</v>
      </c>
      <c r="D90" s="82">
        <v>2</v>
      </c>
      <c r="E90" s="82">
        <v>27</v>
      </c>
      <c r="F90" s="82"/>
      <c r="G90" s="325" t="s">
        <v>119</v>
      </c>
      <c r="H90" s="323"/>
      <c r="I90" s="323"/>
      <c r="J90" s="323"/>
      <c r="K90" s="323"/>
      <c r="L90" s="323"/>
      <c r="M90" s="323"/>
      <c r="N90" s="323"/>
      <c r="O90" s="323"/>
      <c r="P90" s="323"/>
      <c r="Q90" s="323"/>
      <c r="R90" s="323"/>
      <c r="S90" s="323"/>
      <c r="T90" s="323"/>
      <c r="U90" s="323"/>
      <c r="V90" s="323"/>
      <c r="W90" s="323"/>
      <c r="X90" s="323"/>
      <c r="Y90" s="323"/>
      <c r="Z90" s="323"/>
      <c r="AA90" s="323"/>
      <c r="AB90" s="323"/>
      <c r="AC90" s="323"/>
      <c r="AD90" s="324"/>
      <c r="AE90" s="34"/>
      <c r="AF90" s="127"/>
      <c r="AG90" s="127"/>
      <c r="AH90" s="186"/>
      <c r="AI90" s="184"/>
      <c r="AJ90" s="184"/>
      <c r="AK90" s="186"/>
      <c r="AL90" s="189"/>
      <c r="AM90" s="186"/>
      <c r="AN90" s="186"/>
      <c r="AO90" s="185"/>
      <c r="AP90" s="185"/>
      <c r="AQ90" s="185"/>
      <c r="AR90" s="185"/>
      <c r="AS90" s="272"/>
      <c r="AT90" s="155"/>
      <c r="AU90" s="157">
        <f t="shared" si="10"/>
        <v>0</v>
      </c>
    </row>
    <row r="91" spans="2:47" hidden="1" x14ac:dyDescent="0.25">
      <c r="B91" s="83">
        <v>5</v>
      </c>
      <c r="C91" s="82">
        <v>2</v>
      </c>
      <c r="D91" s="82">
        <v>2</v>
      </c>
      <c r="E91" s="82">
        <v>27</v>
      </c>
      <c r="F91" s="84" t="s">
        <v>5</v>
      </c>
      <c r="G91" s="325" t="s">
        <v>121</v>
      </c>
      <c r="H91" s="323"/>
      <c r="I91" s="323"/>
      <c r="J91" s="323"/>
      <c r="K91" s="323"/>
      <c r="L91" s="323"/>
      <c r="M91" s="323"/>
      <c r="N91" s="323"/>
      <c r="O91" s="323"/>
      <c r="P91" s="323"/>
      <c r="Q91" s="323"/>
      <c r="R91" s="323"/>
      <c r="S91" s="323"/>
      <c r="T91" s="323"/>
      <c r="U91" s="323"/>
      <c r="V91" s="323"/>
      <c r="W91" s="323"/>
      <c r="X91" s="323"/>
      <c r="Y91" s="323"/>
      <c r="Z91" s="323"/>
      <c r="AA91" s="323"/>
      <c r="AB91" s="323"/>
      <c r="AC91" s="323"/>
      <c r="AD91" s="324"/>
      <c r="AE91" s="34"/>
      <c r="AF91" s="127"/>
      <c r="AG91" s="127"/>
      <c r="AH91" s="186"/>
      <c r="AI91" s="184"/>
      <c r="AJ91" s="184"/>
      <c r="AK91" s="186"/>
      <c r="AL91" s="189"/>
      <c r="AM91" s="186"/>
      <c r="AN91" s="186"/>
      <c r="AO91" s="185"/>
      <c r="AP91" s="185"/>
      <c r="AQ91" s="185"/>
      <c r="AR91" s="185"/>
      <c r="AS91" s="272"/>
      <c r="AT91" s="155"/>
      <c r="AU91" s="157">
        <f t="shared" si="10"/>
        <v>0</v>
      </c>
    </row>
    <row r="92" spans="2:47" hidden="1" x14ac:dyDescent="0.25">
      <c r="B92" s="83"/>
      <c r="C92" s="82"/>
      <c r="D92" s="82"/>
      <c r="E92" s="82"/>
      <c r="F92" s="84" t="s">
        <v>37</v>
      </c>
      <c r="G92" s="325" t="s">
        <v>122</v>
      </c>
      <c r="H92" s="323"/>
      <c r="I92" s="323"/>
      <c r="J92" s="323"/>
      <c r="K92" s="323"/>
      <c r="L92" s="323"/>
      <c r="M92" s="323"/>
      <c r="N92" s="323"/>
      <c r="O92" s="323"/>
      <c r="P92" s="323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23"/>
      <c r="AC92" s="323"/>
      <c r="AD92" s="324"/>
      <c r="AE92" s="34">
        <f>SUM(AE93:AE101)</f>
        <v>2838359000</v>
      </c>
      <c r="AF92" s="127">
        <f t="shared" ref="AF92:AF101" si="11">(AE92/AE$13)*100</f>
        <v>21.510876311640821</v>
      </c>
      <c r="AG92" s="127"/>
      <c r="AH92" s="186"/>
      <c r="AI92" s="184"/>
      <c r="AJ92" s="184"/>
      <c r="AK92" s="186"/>
      <c r="AL92" s="189"/>
      <c r="AM92" s="186"/>
      <c r="AN92" s="186"/>
      <c r="AO92" s="185"/>
      <c r="AP92" s="185"/>
      <c r="AQ92" s="185"/>
      <c r="AR92" s="185"/>
      <c r="AS92" s="272"/>
      <c r="AT92" s="155"/>
      <c r="AU92" s="157">
        <f t="shared" si="10"/>
        <v>0</v>
      </c>
    </row>
    <row r="93" spans="2:47" hidden="1" x14ac:dyDescent="0.25">
      <c r="B93" s="83"/>
      <c r="C93" s="82"/>
      <c r="D93" s="82"/>
      <c r="E93" s="82"/>
      <c r="F93" s="82"/>
      <c r="G93" s="125">
        <v>1</v>
      </c>
      <c r="H93" s="326" t="s">
        <v>123</v>
      </c>
      <c r="I93" s="323"/>
      <c r="J93" s="323"/>
      <c r="K93" s="323"/>
      <c r="L93" s="323"/>
      <c r="M93" s="323"/>
      <c r="N93" s="323"/>
      <c r="O93" s="323"/>
      <c r="P93" s="323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23"/>
      <c r="AC93" s="323"/>
      <c r="AD93" s="324"/>
      <c r="AE93" s="74">
        <v>200000000</v>
      </c>
      <c r="AF93" s="127">
        <f t="shared" si="11"/>
        <v>1.5157262567307956</v>
      </c>
      <c r="AG93" s="127"/>
      <c r="AH93" s="186"/>
      <c r="AI93" s="190"/>
      <c r="AJ93" s="190">
        <f t="shared" ref="AJ93:AJ100" si="12">0.3*AE93</f>
        <v>60000000</v>
      </c>
      <c r="AK93" s="188"/>
      <c r="AL93" s="189">
        <f>0.7*AE93</f>
        <v>140000000</v>
      </c>
      <c r="AM93" s="188"/>
      <c r="AN93" s="188"/>
      <c r="AO93" s="183"/>
      <c r="AP93" s="183"/>
      <c r="AQ93" s="183"/>
      <c r="AR93" s="183"/>
      <c r="AS93" s="273"/>
      <c r="AT93" s="156"/>
      <c r="AU93" s="157">
        <f t="shared" si="10"/>
        <v>200000000</v>
      </c>
    </row>
    <row r="94" spans="2:47" hidden="1" x14ac:dyDescent="0.25">
      <c r="B94" s="83"/>
      <c r="C94" s="82"/>
      <c r="D94" s="82"/>
      <c r="E94" s="82"/>
      <c r="F94" s="82"/>
      <c r="G94" s="125">
        <f>+G93+1</f>
        <v>2</v>
      </c>
      <c r="H94" s="326" t="s">
        <v>235</v>
      </c>
      <c r="I94" s="323"/>
      <c r="J94" s="323"/>
      <c r="K94" s="323"/>
      <c r="L94" s="323"/>
      <c r="M94" s="323"/>
      <c r="N94" s="323"/>
      <c r="O94" s="323"/>
      <c r="P94" s="323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23"/>
      <c r="AC94" s="323"/>
      <c r="AD94" s="324"/>
      <c r="AE94" s="74">
        <v>145000000</v>
      </c>
      <c r="AF94" s="127">
        <f t="shared" si="11"/>
        <v>1.0989015361298269</v>
      </c>
      <c r="AG94" s="127"/>
      <c r="AH94" s="186"/>
      <c r="AI94" s="190"/>
      <c r="AJ94" s="190">
        <f t="shared" si="12"/>
        <v>43500000</v>
      </c>
      <c r="AK94" s="188"/>
      <c r="AL94" s="189">
        <f>0.7*AE94</f>
        <v>101500000</v>
      </c>
      <c r="AM94" s="188"/>
      <c r="AN94" s="188"/>
      <c r="AO94" s="183"/>
      <c r="AP94" s="183"/>
      <c r="AQ94" s="183"/>
      <c r="AR94" s="183"/>
      <c r="AS94" s="273"/>
      <c r="AT94" s="156"/>
      <c r="AU94" s="157">
        <f t="shared" si="10"/>
        <v>145000000</v>
      </c>
    </row>
    <row r="95" spans="2:47" hidden="1" x14ac:dyDescent="0.25">
      <c r="B95" s="83"/>
      <c r="C95" s="82"/>
      <c r="D95" s="82"/>
      <c r="E95" s="82"/>
      <c r="F95" s="82"/>
      <c r="G95" s="125">
        <f t="shared" ref="G95:G101" si="13">+G94+1</f>
        <v>3</v>
      </c>
      <c r="H95" s="326" t="s">
        <v>236</v>
      </c>
      <c r="I95" s="323"/>
      <c r="J95" s="323"/>
      <c r="K95" s="323"/>
      <c r="L95" s="323"/>
      <c r="M95" s="323"/>
      <c r="N95" s="323"/>
      <c r="O95" s="323"/>
      <c r="P95" s="323"/>
      <c r="Q95" s="323"/>
      <c r="R95" s="323"/>
      <c r="S95" s="323"/>
      <c r="T95" s="323"/>
      <c r="U95" s="323"/>
      <c r="V95" s="323"/>
      <c r="W95" s="323"/>
      <c r="X95" s="323"/>
      <c r="Y95" s="323"/>
      <c r="Z95" s="323"/>
      <c r="AA95" s="323"/>
      <c r="AB95" s="323"/>
      <c r="AC95" s="323"/>
      <c r="AD95" s="324"/>
      <c r="AE95" s="74">
        <v>145000000</v>
      </c>
      <c r="AF95" s="127">
        <f t="shared" si="11"/>
        <v>1.0989015361298269</v>
      </c>
      <c r="AG95" s="127"/>
      <c r="AH95" s="186"/>
      <c r="AI95" s="190"/>
      <c r="AJ95" s="190">
        <f t="shared" si="12"/>
        <v>43500000</v>
      </c>
      <c r="AK95" s="188"/>
      <c r="AL95" s="189">
        <f>0.7*AE95</f>
        <v>101500000</v>
      </c>
      <c r="AM95" s="188"/>
      <c r="AN95" s="188"/>
      <c r="AO95" s="183"/>
      <c r="AP95" s="183"/>
      <c r="AQ95" s="183"/>
      <c r="AR95" s="183"/>
      <c r="AS95" s="273"/>
      <c r="AT95" s="156"/>
      <c r="AU95" s="157">
        <f t="shared" si="10"/>
        <v>145000000</v>
      </c>
    </row>
    <row r="96" spans="2:47" hidden="1" x14ac:dyDescent="0.25">
      <c r="B96" s="83"/>
      <c r="C96" s="82"/>
      <c r="D96" s="82"/>
      <c r="E96" s="82"/>
      <c r="F96" s="82"/>
      <c r="G96" s="125">
        <f t="shared" si="13"/>
        <v>4</v>
      </c>
      <c r="H96" s="326" t="s">
        <v>124</v>
      </c>
      <c r="I96" s="323"/>
      <c r="J96" s="323"/>
      <c r="K96" s="323"/>
      <c r="L96" s="323"/>
      <c r="M96" s="323"/>
      <c r="N96" s="323"/>
      <c r="O96" s="323"/>
      <c r="P96" s="323"/>
      <c r="Q96" s="323"/>
      <c r="R96" s="323"/>
      <c r="S96" s="323"/>
      <c r="T96" s="323"/>
      <c r="U96" s="323"/>
      <c r="V96" s="323"/>
      <c r="W96" s="323"/>
      <c r="X96" s="323"/>
      <c r="Y96" s="323"/>
      <c r="Z96" s="323"/>
      <c r="AA96" s="323"/>
      <c r="AB96" s="323"/>
      <c r="AC96" s="323"/>
      <c r="AD96" s="324"/>
      <c r="AE96" s="74">
        <v>400000000</v>
      </c>
      <c r="AF96" s="127">
        <f t="shared" si="11"/>
        <v>3.0314525134615913</v>
      </c>
      <c r="AG96" s="127"/>
      <c r="AH96" s="186"/>
      <c r="AI96" s="190"/>
      <c r="AJ96" s="190">
        <f t="shared" si="12"/>
        <v>120000000</v>
      </c>
      <c r="AK96" s="188"/>
      <c r="AL96" s="189">
        <f>0.6*AE96-(0.5*AJ96)</f>
        <v>180000000</v>
      </c>
      <c r="AM96" s="188">
        <f>0.4*AE96-(0.5*AJ96)</f>
        <v>100000000</v>
      </c>
      <c r="AN96" s="188"/>
      <c r="AO96" s="183"/>
      <c r="AP96" s="183"/>
      <c r="AQ96" s="183"/>
      <c r="AR96" s="183"/>
      <c r="AS96" s="273"/>
      <c r="AT96" s="156"/>
      <c r="AU96" s="157">
        <f t="shared" si="10"/>
        <v>400000000</v>
      </c>
    </row>
    <row r="97" spans="2:47" hidden="1" x14ac:dyDescent="0.25">
      <c r="B97" s="83"/>
      <c r="C97" s="82"/>
      <c r="D97" s="82"/>
      <c r="E97" s="82"/>
      <c r="F97" s="82"/>
      <c r="G97" s="125">
        <f t="shared" si="13"/>
        <v>5</v>
      </c>
      <c r="H97" s="326" t="s">
        <v>125</v>
      </c>
      <c r="I97" s="323"/>
      <c r="J97" s="323"/>
      <c r="K97" s="323"/>
      <c r="L97" s="323"/>
      <c r="M97" s="323"/>
      <c r="N97" s="323"/>
      <c r="O97" s="323"/>
      <c r="P97" s="323"/>
      <c r="Q97" s="323"/>
      <c r="R97" s="323"/>
      <c r="S97" s="323"/>
      <c r="T97" s="323"/>
      <c r="U97" s="323"/>
      <c r="V97" s="323"/>
      <c r="W97" s="323"/>
      <c r="X97" s="323"/>
      <c r="Y97" s="323"/>
      <c r="Z97" s="323"/>
      <c r="AA97" s="323"/>
      <c r="AB97" s="323"/>
      <c r="AC97" s="323"/>
      <c r="AD97" s="324"/>
      <c r="AE97" s="74">
        <v>450000000</v>
      </c>
      <c r="AF97" s="127">
        <f t="shared" si="11"/>
        <v>3.4103840776442897</v>
      </c>
      <c r="AG97" s="127"/>
      <c r="AH97" s="186"/>
      <c r="AI97" s="190"/>
      <c r="AJ97" s="190">
        <f t="shared" si="12"/>
        <v>135000000</v>
      </c>
      <c r="AK97" s="188"/>
      <c r="AL97" s="189">
        <f>0.6*AE97-(0.5*AJ97)</f>
        <v>202500000</v>
      </c>
      <c r="AM97" s="188">
        <f>0.4*AE97-(0.5*AJ97)</f>
        <v>112500000</v>
      </c>
      <c r="AN97" s="188"/>
      <c r="AO97" s="183"/>
      <c r="AP97" s="183"/>
      <c r="AQ97" s="183"/>
      <c r="AR97" s="183"/>
      <c r="AS97" s="273"/>
      <c r="AT97" s="156"/>
      <c r="AU97" s="157">
        <f t="shared" si="10"/>
        <v>450000000</v>
      </c>
    </row>
    <row r="98" spans="2:47" hidden="1" x14ac:dyDescent="0.25">
      <c r="B98" s="83"/>
      <c r="C98" s="82"/>
      <c r="D98" s="82"/>
      <c r="E98" s="82"/>
      <c r="F98" s="82"/>
      <c r="G98" s="125">
        <f t="shared" si="13"/>
        <v>6</v>
      </c>
      <c r="H98" s="326" t="s">
        <v>237</v>
      </c>
      <c r="I98" s="323"/>
      <c r="J98" s="323"/>
      <c r="K98" s="323"/>
      <c r="L98" s="323"/>
      <c r="M98" s="323"/>
      <c r="N98" s="323"/>
      <c r="O98" s="323"/>
      <c r="P98" s="323"/>
      <c r="Q98" s="323"/>
      <c r="R98" s="323"/>
      <c r="S98" s="323"/>
      <c r="T98" s="323"/>
      <c r="U98" s="323"/>
      <c r="V98" s="323"/>
      <c r="W98" s="323"/>
      <c r="X98" s="323"/>
      <c r="Y98" s="323"/>
      <c r="Z98" s="323"/>
      <c r="AA98" s="323"/>
      <c r="AB98" s="323"/>
      <c r="AC98" s="323"/>
      <c r="AD98" s="324"/>
      <c r="AE98" s="74">
        <v>900000000</v>
      </c>
      <c r="AF98" s="127">
        <f t="shared" si="11"/>
        <v>6.8207681552885795</v>
      </c>
      <c r="AG98" s="127"/>
      <c r="AH98" s="186"/>
      <c r="AI98" s="190"/>
      <c r="AJ98" s="190">
        <f t="shared" si="12"/>
        <v>270000000</v>
      </c>
      <c r="AK98" s="188"/>
      <c r="AL98" s="189">
        <f>0.6*AE98-(0.5*AJ98)</f>
        <v>405000000</v>
      </c>
      <c r="AM98" s="188">
        <f>0.4*AE98-(0.5*AJ98)</f>
        <v>225000000</v>
      </c>
      <c r="AN98" s="188"/>
      <c r="AO98" s="183"/>
      <c r="AP98" s="183"/>
      <c r="AQ98" s="183"/>
      <c r="AR98" s="183"/>
      <c r="AS98" s="273"/>
      <c r="AT98" s="156"/>
      <c r="AU98" s="157">
        <f t="shared" si="10"/>
        <v>900000000</v>
      </c>
    </row>
    <row r="99" spans="2:47" hidden="1" x14ac:dyDescent="0.25">
      <c r="B99" s="83"/>
      <c r="C99" s="82"/>
      <c r="D99" s="82"/>
      <c r="E99" s="82"/>
      <c r="F99" s="82"/>
      <c r="G99" s="125">
        <f t="shared" si="13"/>
        <v>7</v>
      </c>
      <c r="H99" s="326" t="s">
        <v>126</v>
      </c>
      <c r="I99" s="323"/>
      <c r="J99" s="323"/>
      <c r="K99" s="323"/>
      <c r="L99" s="323"/>
      <c r="M99" s="323"/>
      <c r="N99" s="323"/>
      <c r="O99" s="323"/>
      <c r="P99" s="323"/>
      <c r="Q99" s="323"/>
      <c r="R99" s="323"/>
      <c r="S99" s="323"/>
      <c r="T99" s="323"/>
      <c r="U99" s="323"/>
      <c r="V99" s="323"/>
      <c r="W99" s="323"/>
      <c r="X99" s="323"/>
      <c r="Y99" s="323"/>
      <c r="Z99" s="323"/>
      <c r="AA99" s="323"/>
      <c r="AB99" s="323"/>
      <c r="AC99" s="323"/>
      <c r="AD99" s="324"/>
      <c r="AE99" s="74">
        <v>148359000</v>
      </c>
      <c r="AF99" s="127">
        <f t="shared" si="11"/>
        <v>1.1243581586116205</v>
      </c>
      <c r="AG99" s="127"/>
      <c r="AH99" s="186"/>
      <c r="AI99" s="190"/>
      <c r="AJ99" s="190">
        <f t="shared" si="12"/>
        <v>44507700</v>
      </c>
      <c r="AK99" s="188"/>
      <c r="AL99" s="189">
        <f>0.7*AE99</f>
        <v>103851300</v>
      </c>
      <c r="AM99" s="188"/>
      <c r="AN99" s="188"/>
      <c r="AO99" s="183"/>
      <c r="AP99" s="183"/>
      <c r="AQ99" s="183"/>
      <c r="AR99" s="183"/>
      <c r="AS99" s="273"/>
      <c r="AT99" s="156"/>
      <c r="AU99" s="157">
        <f t="shared" si="10"/>
        <v>148359000</v>
      </c>
    </row>
    <row r="100" spans="2:47" hidden="1" x14ac:dyDescent="0.25">
      <c r="B100" s="83"/>
      <c r="C100" s="82"/>
      <c r="D100" s="82"/>
      <c r="E100" s="82"/>
      <c r="F100" s="82"/>
      <c r="G100" s="125">
        <f t="shared" si="13"/>
        <v>8</v>
      </c>
      <c r="H100" s="326" t="s">
        <v>127</v>
      </c>
      <c r="I100" s="323"/>
      <c r="J100" s="323"/>
      <c r="K100" s="323"/>
      <c r="L100" s="323"/>
      <c r="M100" s="323"/>
      <c r="N100" s="323"/>
      <c r="O100" s="323"/>
      <c r="P100" s="323"/>
      <c r="Q100" s="323"/>
      <c r="R100" s="323"/>
      <c r="S100" s="323"/>
      <c r="T100" s="323"/>
      <c r="U100" s="323"/>
      <c r="V100" s="323"/>
      <c r="W100" s="323"/>
      <c r="X100" s="323"/>
      <c r="Y100" s="323"/>
      <c r="Z100" s="323"/>
      <c r="AA100" s="323"/>
      <c r="AB100" s="323"/>
      <c r="AC100" s="323"/>
      <c r="AD100" s="324"/>
      <c r="AE100" s="74">
        <v>100000000</v>
      </c>
      <c r="AF100" s="127">
        <f t="shared" si="11"/>
        <v>0.75786312836539782</v>
      </c>
      <c r="AG100" s="127"/>
      <c r="AH100" s="186"/>
      <c r="AI100" s="190"/>
      <c r="AJ100" s="190">
        <f t="shared" si="12"/>
        <v>30000000</v>
      </c>
      <c r="AK100" s="188"/>
      <c r="AL100" s="189">
        <f>0.7*AE100</f>
        <v>70000000</v>
      </c>
      <c r="AM100" s="188"/>
      <c r="AN100" s="188"/>
      <c r="AO100" s="183"/>
      <c r="AP100" s="183"/>
      <c r="AQ100" s="183"/>
      <c r="AR100" s="183"/>
      <c r="AS100" s="273"/>
      <c r="AT100" s="156"/>
      <c r="AU100" s="157">
        <f t="shared" si="10"/>
        <v>100000000</v>
      </c>
    </row>
    <row r="101" spans="2:47" hidden="1" x14ac:dyDescent="0.25">
      <c r="B101" s="83"/>
      <c r="C101" s="82"/>
      <c r="D101" s="82"/>
      <c r="E101" s="82"/>
      <c r="F101" s="82"/>
      <c r="G101" s="124">
        <f t="shared" si="13"/>
        <v>9</v>
      </c>
      <c r="H101" s="1023" t="s">
        <v>128</v>
      </c>
      <c r="I101" s="1023"/>
      <c r="J101" s="1023"/>
      <c r="K101" s="1023"/>
      <c r="L101" s="1023"/>
      <c r="M101" s="1023"/>
      <c r="N101" s="1023"/>
      <c r="O101" s="1023"/>
      <c r="P101" s="1023"/>
      <c r="Q101" s="1023"/>
      <c r="R101" s="1023"/>
      <c r="S101" s="1023"/>
      <c r="T101" s="1023"/>
      <c r="U101" s="1023"/>
      <c r="V101" s="1023"/>
      <c r="W101" s="1023"/>
      <c r="X101" s="1023"/>
      <c r="Y101" s="1023"/>
      <c r="Z101" s="1023"/>
      <c r="AA101" s="1023"/>
      <c r="AB101" s="1023"/>
      <c r="AC101" s="1023"/>
      <c r="AD101" s="324"/>
      <c r="AE101" s="74">
        <v>350000000</v>
      </c>
      <c r="AF101" s="127">
        <f t="shared" si="11"/>
        <v>2.6525209492788924</v>
      </c>
      <c r="AG101" s="127"/>
      <c r="AH101" s="186"/>
      <c r="AI101" s="190"/>
      <c r="AJ101" s="190"/>
      <c r="AK101" s="188">
        <f>0.3*AE101</f>
        <v>105000000</v>
      </c>
      <c r="AL101" s="189"/>
      <c r="AM101" s="188">
        <f>0.6*AE101-(0.5*AK101)</f>
        <v>157500000</v>
      </c>
      <c r="AN101" s="188">
        <f>0.4*AE101-(0.5*AK101)</f>
        <v>87500000</v>
      </c>
      <c r="AO101" s="183"/>
      <c r="AP101" s="183"/>
      <c r="AQ101" s="183"/>
      <c r="AR101" s="183"/>
      <c r="AS101" s="273"/>
      <c r="AT101" s="156"/>
      <c r="AU101" s="157">
        <f t="shared" si="10"/>
        <v>350000000</v>
      </c>
    </row>
    <row r="102" spans="2:47" hidden="1" x14ac:dyDescent="0.25">
      <c r="B102" s="83"/>
      <c r="C102" s="82"/>
      <c r="D102" s="82"/>
      <c r="E102" s="82"/>
      <c r="F102" s="82"/>
      <c r="G102" s="124"/>
      <c r="H102" s="1024"/>
      <c r="I102" s="1024"/>
      <c r="J102" s="1024"/>
      <c r="K102" s="1024"/>
      <c r="L102" s="1024"/>
      <c r="M102" s="1024"/>
      <c r="N102" s="1024"/>
      <c r="O102" s="1024"/>
      <c r="P102" s="1024"/>
      <c r="Q102" s="1024"/>
      <c r="R102" s="1024"/>
      <c r="S102" s="1024"/>
      <c r="T102" s="1024"/>
      <c r="U102" s="1024"/>
      <c r="V102" s="1024"/>
      <c r="W102" s="1024"/>
      <c r="X102" s="1024"/>
      <c r="Y102" s="1024"/>
      <c r="Z102" s="1024"/>
      <c r="AA102" s="1024"/>
      <c r="AB102" s="1024"/>
      <c r="AC102" s="1024"/>
      <c r="AD102" s="324"/>
      <c r="AE102" s="74"/>
      <c r="AF102" s="127"/>
      <c r="AG102" s="127"/>
      <c r="AH102" s="186"/>
      <c r="AI102" s="190"/>
      <c r="AJ102" s="190"/>
      <c r="AK102" s="188"/>
      <c r="AL102" s="189"/>
      <c r="AM102" s="188"/>
      <c r="AN102" s="188"/>
      <c r="AO102" s="183"/>
      <c r="AP102" s="183"/>
      <c r="AQ102" s="183"/>
      <c r="AR102" s="183"/>
      <c r="AS102" s="273"/>
      <c r="AT102" s="156"/>
      <c r="AU102" s="157">
        <f t="shared" si="10"/>
        <v>0</v>
      </c>
    </row>
    <row r="103" spans="2:47" hidden="1" x14ac:dyDescent="0.25">
      <c r="B103" s="83"/>
      <c r="C103" s="82"/>
      <c r="D103" s="82"/>
      <c r="E103" s="82"/>
      <c r="F103" s="82"/>
      <c r="G103" s="124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331"/>
      <c r="Z103" s="331"/>
      <c r="AA103" s="331"/>
      <c r="AB103" s="331"/>
      <c r="AC103" s="331"/>
      <c r="AD103" s="324"/>
      <c r="AE103" s="74"/>
      <c r="AF103" s="127"/>
      <c r="AG103" s="127"/>
      <c r="AH103" s="186"/>
      <c r="AI103" s="190"/>
      <c r="AJ103" s="190"/>
      <c r="AK103" s="188"/>
      <c r="AL103" s="189"/>
      <c r="AM103" s="188"/>
      <c r="AN103" s="188"/>
      <c r="AO103" s="183"/>
      <c r="AP103" s="183"/>
      <c r="AQ103" s="183"/>
      <c r="AR103" s="183"/>
      <c r="AS103" s="273"/>
      <c r="AT103" s="156"/>
      <c r="AU103" s="157">
        <f t="shared" si="10"/>
        <v>0</v>
      </c>
    </row>
    <row r="104" spans="2:47" hidden="1" x14ac:dyDescent="0.25">
      <c r="B104" s="83"/>
      <c r="C104" s="82"/>
      <c r="D104" s="82"/>
      <c r="E104" s="82"/>
      <c r="F104" s="84" t="s">
        <v>37</v>
      </c>
      <c r="G104" s="325" t="s">
        <v>244</v>
      </c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1"/>
      <c r="T104" s="331"/>
      <c r="U104" s="331"/>
      <c r="V104" s="331"/>
      <c r="W104" s="331"/>
      <c r="X104" s="331"/>
      <c r="Y104" s="331"/>
      <c r="Z104" s="331"/>
      <c r="AA104" s="331"/>
      <c r="AB104" s="331"/>
      <c r="AC104" s="331"/>
      <c r="AD104" s="324"/>
      <c r="AE104" s="34">
        <f>+AE105</f>
        <v>12000000</v>
      </c>
      <c r="AF104" s="127">
        <f>(AE104/AE$13)*100</f>
        <v>9.0943575403847732E-2</v>
      </c>
      <c r="AG104" s="127"/>
      <c r="AH104" s="186"/>
      <c r="AI104" s="190"/>
      <c r="AJ104" s="190"/>
      <c r="AK104" s="188"/>
      <c r="AL104" s="189"/>
      <c r="AM104" s="188"/>
      <c r="AN104" s="188"/>
      <c r="AO104" s="183"/>
      <c r="AP104" s="183"/>
      <c r="AQ104" s="183"/>
      <c r="AR104" s="183"/>
      <c r="AS104" s="273"/>
      <c r="AT104" s="156"/>
      <c r="AU104" s="157">
        <f t="shared" si="10"/>
        <v>0</v>
      </c>
    </row>
    <row r="105" spans="2:47" hidden="1" x14ac:dyDescent="0.25">
      <c r="B105" s="83"/>
      <c r="C105" s="82"/>
      <c r="D105" s="82"/>
      <c r="E105" s="82"/>
      <c r="F105" s="82"/>
      <c r="G105" s="325" t="s">
        <v>245</v>
      </c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1"/>
      <c r="T105" s="331"/>
      <c r="U105" s="331"/>
      <c r="V105" s="331"/>
      <c r="W105" s="331"/>
      <c r="X105" s="331"/>
      <c r="Y105" s="331"/>
      <c r="Z105" s="331"/>
      <c r="AA105" s="331"/>
      <c r="AB105" s="331"/>
      <c r="AC105" s="331"/>
      <c r="AD105" s="324"/>
      <c r="AE105" s="74">
        <v>12000000</v>
      </c>
      <c r="AF105" s="127">
        <f>(AE105/AE$13)*100</f>
        <v>9.0943575403847732E-2</v>
      </c>
      <c r="AG105" s="127"/>
      <c r="AH105" s="188">
        <f>+AE105/12</f>
        <v>1000000</v>
      </c>
      <c r="AI105" s="190">
        <f t="shared" ref="AI105:AS105" si="14">+AH105</f>
        <v>1000000</v>
      </c>
      <c r="AJ105" s="190">
        <f t="shared" si="14"/>
        <v>1000000</v>
      </c>
      <c r="AK105" s="190">
        <f t="shared" si="14"/>
        <v>1000000</v>
      </c>
      <c r="AL105" s="190">
        <f t="shared" si="14"/>
        <v>1000000</v>
      </c>
      <c r="AM105" s="190">
        <f t="shared" si="14"/>
        <v>1000000</v>
      </c>
      <c r="AN105" s="190">
        <f t="shared" si="14"/>
        <v>1000000</v>
      </c>
      <c r="AO105" s="190">
        <f t="shared" si="14"/>
        <v>1000000</v>
      </c>
      <c r="AP105" s="190">
        <f t="shared" si="14"/>
        <v>1000000</v>
      </c>
      <c r="AQ105" s="190">
        <f t="shared" si="14"/>
        <v>1000000</v>
      </c>
      <c r="AR105" s="190">
        <f t="shared" si="14"/>
        <v>1000000</v>
      </c>
      <c r="AS105" s="190">
        <f t="shared" si="14"/>
        <v>1000000</v>
      </c>
      <c r="AT105" s="156"/>
      <c r="AU105" s="157">
        <f t="shared" si="10"/>
        <v>12000000</v>
      </c>
    </row>
    <row r="106" spans="2:47" hidden="1" x14ac:dyDescent="0.25">
      <c r="B106" s="83"/>
      <c r="C106" s="82"/>
      <c r="D106" s="82"/>
      <c r="E106" s="82"/>
      <c r="F106" s="84" t="s">
        <v>37</v>
      </c>
      <c r="G106" s="325" t="s">
        <v>129</v>
      </c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1"/>
      <c r="T106" s="331"/>
      <c r="U106" s="331"/>
      <c r="V106" s="331"/>
      <c r="W106" s="331"/>
      <c r="X106" s="331"/>
      <c r="Y106" s="331"/>
      <c r="Z106" s="331"/>
      <c r="AA106" s="331"/>
      <c r="AB106" s="331"/>
      <c r="AC106" s="331"/>
      <c r="AD106" s="324"/>
      <c r="AE106" s="74">
        <f>SUM(AE107:AE108)</f>
        <v>4125000</v>
      </c>
      <c r="AF106" s="127"/>
      <c r="AG106" s="127"/>
      <c r="AH106" s="186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273"/>
      <c r="AT106" s="156"/>
      <c r="AU106" s="157"/>
    </row>
    <row r="107" spans="2:47" hidden="1" x14ac:dyDescent="0.25">
      <c r="B107" s="83"/>
      <c r="C107" s="82"/>
      <c r="D107" s="82"/>
      <c r="E107" s="82"/>
      <c r="F107" s="82"/>
      <c r="G107" s="325" t="s">
        <v>206</v>
      </c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  <c r="Y107" s="331"/>
      <c r="Z107" s="331"/>
      <c r="AA107" s="331"/>
      <c r="AB107" s="331"/>
      <c r="AC107" s="331"/>
      <c r="AD107" s="324"/>
      <c r="AE107" s="74">
        <v>1125000</v>
      </c>
      <c r="AF107" s="127">
        <f>(AE107/AE$13)*100</f>
        <v>8.5259601941107249E-3</v>
      </c>
      <c r="AG107" s="127"/>
      <c r="AH107" s="186"/>
      <c r="AI107" s="190"/>
      <c r="AJ107" s="190">
        <f>+AE107/5</f>
        <v>225000</v>
      </c>
      <c r="AK107" s="188">
        <f t="shared" ref="AK107:AN108" si="15">+AJ107</f>
        <v>225000</v>
      </c>
      <c r="AL107" s="188">
        <f t="shared" si="15"/>
        <v>225000</v>
      </c>
      <c r="AM107" s="188">
        <f t="shared" si="15"/>
        <v>225000</v>
      </c>
      <c r="AN107" s="188">
        <f t="shared" si="15"/>
        <v>225000</v>
      </c>
      <c r="AO107" s="183"/>
      <c r="AP107" s="183"/>
      <c r="AQ107" s="183"/>
      <c r="AR107" s="183"/>
      <c r="AS107" s="273"/>
      <c r="AT107" s="156"/>
      <c r="AU107" s="157">
        <f t="shared" si="10"/>
        <v>1125000</v>
      </c>
    </row>
    <row r="108" spans="2:47" hidden="1" x14ac:dyDescent="0.25">
      <c r="B108" s="83"/>
      <c r="C108" s="82"/>
      <c r="D108" s="82"/>
      <c r="E108" s="82"/>
      <c r="F108" s="82"/>
      <c r="G108" s="325" t="s">
        <v>205</v>
      </c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  <c r="Y108" s="331"/>
      <c r="Z108" s="331"/>
      <c r="AA108" s="331"/>
      <c r="AB108" s="331"/>
      <c r="AC108" s="331"/>
      <c r="AD108" s="324"/>
      <c r="AE108" s="74">
        <v>3000000</v>
      </c>
      <c r="AF108" s="127">
        <f>(AE108/AE$13)*100</f>
        <v>2.2735893850961933E-2</v>
      </c>
      <c r="AG108" s="127"/>
      <c r="AH108" s="186"/>
      <c r="AI108" s="190"/>
      <c r="AJ108" s="190">
        <f>+AE108/5</f>
        <v>600000</v>
      </c>
      <c r="AK108" s="188">
        <f t="shared" si="15"/>
        <v>600000</v>
      </c>
      <c r="AL108" s="188">
        <f t="shared" si="15"/>
        <v>600000</v>
      </c>
      <c r="AM108" s="188">
        <f t="shared" si="15"/>
        <v>600000</v>
      </c>
      <c r="AN108" s="188">
        <f t="shared" si="15"/>
        <v>600000</v>
      </c>
      <c r="AO108" s="183"/>
      <c r="AP108" s="183"/>
      <c r="AQ108" s="183"/>
      <c r="AR108" s="183"/>
      <c r="AS108" s="273"/>
      <c r="AT108" s="156"/>
      <c r="AU108" s="157">
        <f t="shared" si="10"/>
        <v>3000000</v>
      </c>
    </row>
    <row r="109" spans="2:47" hidden="1" x14ac:dyDescent="0.25">
      <c r="B109" s="83"/>
      <c r="C109" s="82"/>
      <c r="D109" s="82"/>
      <c r="E109" s="82"/>
      <c r="F109" s="82"/>
      <c r="G109" s="124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  <c r="Y109" s="331"/>
      <c r="Z109" s="331"/>
      <c r="AA109" s="331"/>
      <c r="AB109" s="331"/>
      <c r="AC109" s="331"/>
      <c r="AD109" s="324"/>
      <c r="AE109" s="74"/>
      <c r="AF109" s="127"/>
      <c r="AG109" s="127"/>
      <c r="AH109" s="186"/>
      <c r="AI109" s="190"/>
      <c r="AJ109" s="190"/>
      <c r="AK109" s="188"/>
      <c r="AL109" s="189"/>
      <c r="AM109" s="188"/>
      <c r="AN109" s="188"/>
      <c r="AO109" s="183"/>
      <c r="AP109" s="183"/>
      <c r="AQ109" s="183"/>
      <c r="AR109" s="183"/>
      <c r="AS109" s="273"/>
      <c r="AT109" s="156"/>
      <c r="AU109" s="157">
        <f t="shared" si="10"/>
        <v>0</v>
      </c>
    </row>
    <row r="110" spans="2:47" hidden="1" x14ac:dyDescent="0.25">
      <c r="B110" s="83"/>
      <c r="C110" s="82"/>
      <c r="D110" s="82"/>
      <c r="E110" s="82"/>
      <c r="F110" s="84" t="s">
        <v>37</v>
      </c>
      <c r="G110" s="325" t="s">
        <v>238</v>
      </c>
      <c r="H110" s="323"/>
      <c r="I110" s="323"/>
      <c r="J110" s="323"/>
      <c r="K110" s="323"/>
      <c r="L110" s="323"/>
      <c r="M110" s="323"/>
      <c r="N110" s="323"/>
      <c r="O110" s="323"/>
      <c r="P110" s="323"/>
      <c r="Q110" s="323"/>
      <c r="R110" s="323"/>
      <c r="S110" s="323"/>
      <c r="T110" s="323"/>
      <c r="U110" s="323"/>
      <c r="V110" s="323"/>
      <c r="W110" s="323"/>
      <c r="X110" s="323"/>
      <c r="Y110" s="323"/>
      <c r="Z110" s="323"/>
      <c r="AA110" s="323"/>
      <c r="AB110" s="323"/>
      <c r="AC110" s="323"/>
      <c r="AD110" s="324"/>
      <c r="AE110" s="74">
        <v>4050000</v>
      </c>
      <c r="AF110" s="127">
        <f>(AE110/AE$13)*100</f>
        <v>3.069345669879861E-2</v>
      </c>
      <c r="AG110" s="127"/>
      <c r="AH110" s="186"/>
      <c r="AI110" s="190"/>
      <c r="AJ110" s="190"/>
      <c r="AK110" s="188"/>
      <c r="AL110" s="189"/>
      <c r="AM110" s="188"/>
      <c r="AN110" s="188">
        <f>+AE110</f>
        <v>4050000</v>
      </c>
      <c r="AO110" s="183"/>
      <c r="AP110" s="183"/>
      <c r="AQ110" s="183"/>
      <c r="AR110" s="183"/>
      <c r="AS110" s="273"/>
      <c r="AT110" s="156"/>
      <c r="AU110" s="157">
        <f t="shared" si="10"/>
        <v>4050000</v>
      </c>
    </row>
    <row r="111" spans="2:47" hidden="1" x14ac:dyDescent="0.25">
      <c r="B111" s="83"/>
      <c r="C111" s="82"/>
      <c r="D111" s="82"/>
      <c r="E111" s="82"/>
      <c r="F111" s="82"/>
      <c r="G111" s="325"/>
      <c r="H111" s="323"/>
      <c r="I111" s="323"/>
      <c r="J111" s="323"/>
      <c r="K111" s="323"/>
      <c r="L111" s="323"/>
      <c r="M111" s="323"/>
      <c r="N111" s="323"/>
      <c r="O111" s="323"/>
      <c r="P111" s="323"/>
      <c r="Q111" s="323"/>
      <c r="R111" s="323"/>
      <c r="S111" s="323"/>
      <c r="T111" s="323"/>
      <c r="U111" s="323"/>
      <c r="V111" s="323"/>
      <c r="W111" s="323"/>
      <c r="X111" s="323"/>
      <c r="Y111" s="323"/>
      <c r="Z111" s="323"/>
      <c r="AA111" s="323"/>
      <c r="AB111" s="323"/>
      <c r="AC111" s="323"/>
      <c r="AD111" s="324"/>
      <c r="AE111" s="74"/>
      <c r="AF111" s="127"/>
      <c r="AG111" s="127"/>
      <c r="AH111" s="186"/>
      <c r="AI111" s="190"/>
      <c r="AJ111" s="190"/>
      <c r="AK111" s="188"/>
      <c r="AL111" s="189"/>
      <c r="AM111" s="188"/>
      <c r="AN111" s="188"/>
      <c r="AO111" s="183"/>
      <c r="AP111" s="183"/>
      <c r="AQ111" s="183"/>
      <c r="AR111" s="183"/>
      <c r="AS111" s="273"/>
      <c r="AT111" s="156"/>
      <c r="AU111" s="157">
        <f t="shared" si="10"/>
        <v>0</v>
      </c>
    </row>
    <row r="112" spans="2:47" hidden="1" x14ac:dyDescent="0.25">
      <c r="B112" s="83"/>
      <c r="C112" s="82"/>
      <c r="D112" s="82"/>
      <c r="E112" s="82"/>
      <c r="F112" s="82"/>
      <c r="G112" s="325" t="s">
        <v>239</v>
      </c>
      <c r="H112" s="323"/>
      <c r="I112" s="323"/>
      <c r="J112" s="323"/>
      <c r="K112" s="323"/>
      <c r="L112" s="323"/>
      <c r="M112" s="323"/>
      <c r="N112" s="323"/>
      <c r="O112" s="323"/>
      <c r="P112" s="323"/>
      <c r="Q112" s="323"/>
      <c r="R112" s="323"/>
      <c r="S112" s="323"/>
      <c r="T112" s="323"/>
      <c r="U112" s="323"/>
      <c r="V112" s="323"/>
      <c r="W112" s="323"/>
      <c r="X112" s="323"/>
      <c r="Y112" s="323"/>
      <c r="Z112" s="323"/>
      <c r="AA112" s="323"/>
      <c r="AB112" s="323"/>
      <c r="AC112" s="323"/>
      <c r="AD112" s="324"/>
      <c r="AE112" s="34">
        <f>SUM(AE113:AE116)</f>
        <v>6320000</v>
      </c>
      <c r="AF112" s="127"/>
      <c r="AG112" s="127"/>
      <c r="AH112" s="186"/>
      <c r="AI112" s="190"/>
      <c r="AJ112" s="190"/>
      <c r="AK112" s="188"/>
      <c r="AL112" s="189"/>
      <c r="AM112" s="188"/>
      <c r="AN112" s="188"/>
      <c r="AO112" s="183"/>
      <c r="AP112" s="183"/>
      <c r="AQ112" s="183"/>
      <c r="AR112" s="183"/>
      <c r="AS112" s="273"/>
      <c r="AT112" s="156"/>
      <c r="AU112" s="157">
        <f t="shared" si="10"/>
        <v>0</v>
      </c>
    </row>
    <row r="113" spans="2:47" hidden="1" x14ac:dyDescent="0.25">
      <c r="B113" s="83"/>
      <c r="C113" s="82"/>
      <c r="D113" s="82"/>
      <c r="E113" s="82"/>
      <c r="F113" s="84" t="s">
        <v>37</v>
      </c>
      <c r="G113" s="325" t="s">
        <v>240</v>
      </c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V113" s="331"/>
      <c r="W113" s="331"/>
      <c r="X113" s="331"/>
      <c r="Y113" s="331"/>
      <c r="Z113" s="331"/>
      <c r="AA113" s="331"/>
      <c r="AB113" s="331"/>
      <c r="AC113" s="331"/>
      <c r="AD113" s="324"/>
      <c r="AE113" s="74">
        <v>1750000</v>
      </c>
      <c r="AF113" s="127">
        <f>(AE113/AE$13)*100</f>
        <v>1.3262604746394461E-2</v>
      </c>
      <c r="AG113" s="127"/>
      <c r="AH113" s="186"/>
      <c r="AI113" s="190"/>
      <c r="AJ113" s="188">
        <f>+AE113</f>
        <v>1750000</v>
      </c>
      <c r="AL113" s="189"/>
      <c r="AM113" s="188"/>
      <c r="AN113" s="188"/>
      <c r="AO113" s="183"/>
      <c r="AP113" s="183"/>
      <c r="AQ113" s="183"/>
      <c r="AR113" s="183"/>
      <c r="AS113" s="273"/>
      <c r="AT113" s="156"/>
      <c r="AU113" s="157">
        <f>SUM(AH113:AS113)</f>
        <v>1750000</v>
      </c>
    </row>
    <row r="114" spans="2:47" hidden="1" x14ac:dyDescent="0.25">
      <c r="B114" s="83"/>
      <c r="C114" s="82"/>
      <c r="D114" s="82"/>
      <c r="E114" s="84"/>
      <c r="F114" s="84" t="s">
        <v>37</v>
      </c>
      <c r="G114" s="325" t="s">
        <v>241</v>
      </c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V114" s="331"/>
      <c r="W114" s="331"/>
      <c r="X114" s="331"/>
      <c r="Y114" s="331"/>
      <c r="Z114" s="331"/>
      <c r="AA114" s="331"/>
      <c r="AB114" s="331"/>
      <c r="AC114" s="331"/>
      <c r="AD114" s="324"/>
      <c r="AE114" s="74">
        <v>1200000</v>
      </c>
      <c r="AF114" s="127">
        <f>(AE114/AE$13)*100</f>
        <v>9.0943575403847742E-3</v>
      </c>
      <c r="AG114" s="127"/>
      <c r="AH114" s="186"/>
      <c r="AI114" s="190"/>
      <c r="AJ114" s="188">
        <f>+AE114</f>
        <v>1200000</v>
      </c>
      <c r="AL114" s="189"/>
      <c r="AM114" s="188"/>
      <c r="AN114" s="188"/>
      <c r="AO114" s="183"/>
      <c r="AP114" s="183"/>
      <c r="AQ114" s="183"/>
      <c r="AR114" s="183"/>
      <c r="AS114" s="273"/>
      <c r="AT114" s="156"/>
      <c r="AU114" s="157">
        <f>SUM(AH114:AS114)</f>
        <v>1200000</v>
      </c>
    </row>
    <row r="115" spans="2:47" hidden="1" x14ac:dyDescent="0.25">
      <c r="B115" s="83"/>
      <c r="C115" s="82"/>
      <c r="D115" s="82"/>
      <c r="E115" s="84"/>
      <c r="F115" s="84" t="s">
        <v>37</v>
      </c>
      <c r="G115" s="325" t="s">
        <v>242</v>
      </c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1"/>
      <c r="T115" s="331"/>
      <c r="U115" s="331"/>
      <c r="V115" s="331"/>
      <c r="W115" s="331"/>
      <c r="X115" s="331"/>
      <c r="Y115" s="331"/>
      <c r="Z115" s="331"/>
      <c r="AA115" s="331"/>
      <c r="AB115" s="331"/>
      <c r="AC115" s="331"/>
      <c r="AD115" s="324"/>
      <c r="AE115" s="74">
        <v>1750000</v>
      </c>
      <c r="AF115" s="127">
        <f>(AE115/AE$13)*100</f>
        <v>1.3262604746394461E-2</v>
      </c>
      <c r="AG115" s="127"/>
      <c r="AH115" s="186"/>
      <c r="AI115" s="190"/>
      <c r="AJ115" s="190"/>
      <c r="AK115" s="188"/>
      <c r="AL115" s="189">
        <f>+AE115</f>
        <v>1750000</v>
      </c>
      <c r="AM115" s="188"/>
      <c r="AN115" s="188"/>
      <c r="AO115" s="183"/>
      <c r="AP115" s="183"/>
      <c r="AQ115" s="183"/>
      <c r="AR115" s="183"/>
      <c r="AS115" s="273"/>
      <c r="AT115" s="156"/>
      <c r="AU115" s="157">
        <f>SUM(AH115:AS115)</f>
        <v>1750000</v>
      </c>
    </row>
    <row r="116" spans="2:47" hidden="1" x14ac:dyDescent="0.25">
      <c r="B116" s="83"/>
      <c r="C116" s="82"/>
      <c r="D116" s="82"/>
      <c r="E116" s="84"/>
      <c r="F116" s="84" t="s">
        <v>37</v>
      </c>
      <c r="G116" s="325" t="s">
        <v>243</v>
      </c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1"/>
      <c r="T116" s="331"/>
      <c r="U116" s="331"/>
      <c r="V116" s="331"/>
      <c r="W116" s="331"/>
      <c r="X116" s="331"/>
      <c r="Y116" s="331"/>
      <c r="Z116" s="331"/>
      <c r="AA116" s="331"/>
      <c r="AB116" s="331"/>
      <c r="AC116" s="331"/>
      <c r="AD116" s="324"/>
      <c r="AE116" s="74">
        <f>600000+540000+480000</f>
        <v>1620000</v>
      </c>
      <c r="AF116" s="127">
        <f>(AE116/AE$13)*100</f>
        <v>1.2277382679519444E-2</v>
      </c>
      <c r="AG116" s="127"/>
      <c r="AH116" s="186"/>
      <c r="AI116" s="190"/>
      <c r="AJ116" s="190"/>
      <c r="AK116" s="188"/>
      <c r="AL116" s="189"/>
      <c r="AM116" s="188"/>
      <c r="AN116" s="188">
        <f>+AE116</f>
        <v>1620000</v>
      </c>
      <c r="AO116" s="183"/>
      <c r="AP116" s="183"/>
      <c r="AQ116" s="183"/>
      <c r="AR116" s="183"/>
      <c r="AS116" s="273"/>
      <c r="AT116" s="156"/>
      <c r="AU116" s="157">
        <f>SUM(AH116:AS116)</f>
        <v>1620000</v>
      </c>
    </row>
    <row r="117" spans="2:47" hidden="1" x14ac:dyDescent="0.25">
      <c r="B117" s="83"/>
      <c r="C117" s="82"/>
      <c r="D117" s="82"/>
      <c r="E117" s="84"/>
      <c r="F117" s="84"/>
      <c r="G117" s="325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1"/>
      <c r="T117" s="331"/>
      <c r="U117" s="331"/>
      <c r="V117" s="331"/>
      <c r="W117" s="331"/>
      <c r="X117" s="331"/>
      <c r="Y117" s="331"/>
      <c r="Z117" s="331"/>
      <c r="AA117" s="331"/>
      <c r="AB117" s="331"/>
      <c r="AC117" s="331"/>
      <c r="AD117" s="324"/>
      <c r="AE117" s="74"/>
      <c r="AF117" s="127"/>
      <c r="AG117" s="127"/>
      <c r="AH117" s="186"/>
      <c r="AI117" s="190"/>
      <c r="AJ117" s="190"/>
      <c r="AK117" s="188"/>
      <c r="AL117" s="189"/>
      <c r="AM117" s="188"/>
      <c r="AN117" s="188"/>
      <c r="AO117" s="183"/>
      <c r="AP117" s="183"/>
      <c r="AQ117" s="183"/>
      <c r="AR117" s="183"/>
      <c r="AS117" s="273"/>
      <c r="AT117" s="156"/>
      <c r="AU117" s="157"/>
    </row>
    <row r="118" spans="2:47" hidden="1" x14ac:dyDescent="0.25">
      <c r="B118" s="83"/>
      <c r="C118" s="82"/>
      <c r="D118" s="82"/>
      <c r="E118" s="84"/>
      <c r="F118" s="84" t="s">
        <v>37</v>
      </c>
      <c r="G118" s="73" t="s">
        <v>38</v>
      </c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86"/>
      <c r="AE118" s="34">
        <v>5482000</v>
      </c>
      <c r="AF118" s="127">
        <f>(AE118/AE$13)*100</f>
        <v>4.1546056696991109E-2</v>
      </c>
      <c r="AG118" s="127"/>
      <c r="AH118" s="188"/>
      <c r="AI118" s="190">
        <v>2500000</v>
      </c>
      <c r="AJ118" s="190"/>
      <c r="AK118" s="188"/>
      <c r="AL118" s="189">
        <v>2000000</v>
      </c>
      <c r="AM118" s="188"/>
      <c r="AN118" s="188"/>
      <c r="AO118" s="183">
        <f>+AE118-AI118-AL118</f>
        <v>982000</v>
      </c>
      <c r="AP118" s="183"/>
      <c r="AQ118" s="183"/>
      <c r="AR118" s="183"/>
      <c r="AS118" s="273"/>
      <c r="AT118" s="156"/>
      <c r="AU118" s="157">
        <f t="shared" si="10"/>
        <v>5482000</v>
      </c>
    </row>
    <row r="119" spans="2:47" hidden="1" x14ac:dyDescent="0.25">
      <c r="B119" s="83"/>
      <c r="C119" s="82"/>
      <c r="D119" s="82"/>
      <c r="E119" s="84"/>
      <c r="F119" s="84"/>
      <c r="G119" s="325"/>
      <c r="H119" s="326"/>
      <c r="I119" s="326"/>
      <c r="J119" s="326"/>
      <c r="K119" s="326"/>
      <c r="L119" s="326"/>
      <c r="M119" s="326"/>
      <c r="N119" s="326"/>
      <c r="O119" s="326"/>
      <c r="P119" s="326"/>
      <c r="Q119" s="326"/>
      <c r="R119" s="326"/>
      <c r="S119" s="326"/>
      <c r="T119" s="326"/>
      <c r="U119" s="326"/>
      <c r="V119" s="326"/>
      <c r="W119" s="326"/>
      <c r="X119" s="326"/>
      <c r="Y119" s="326"/>
      <c r="Z119" s="326"/>
      <c r="AA119" s="326"/>
      <c r="AB119" s="326"/>
      <c r="AC119" s="326"/>
      <c r="AD119" s="327"/>
      <c r="AE119" s="74"/>
      <c r="AF119" s="127"/>
      <c r="AG119" s="127"/>
      <c r="AH119" s="188"/>
      <c r="AI119" s="189"/>
      <c r="AJ119" s="188"/>
      <c r="AK119" s="188"/>
      <c r="AL119" s="189"/>
      <c r="AM119" s="188"/>
      <c r="AN119" s="188"/>
      <c r="AO119" s="183"/>
      <c r="AP119" s="194"/>
      <c r="AQ119" s="195"/>
      <c r="AR119" s="195"/>
      <c r="AS119" s="276"/>
      <c r="AT119" s="156"/>
      <c r="AU119" s="157">
        <f t="shared" si="10"/>
        <v>0</v>
      </c>
    </row>
    <row r="120" spans="2:47" hidden="1" x14ac:dyDescent="0.25">
      <c r="B120" s="83"/>
      <c r="C120" s="82"/>
      <c r="D120" s="82"/>
      <c r="E120" s="82"/>
      <c r="F120" s="84" t="s">
        <v>37</v>
      </c>
      <c r="G120" s="73" t="s">
        <v>130</v>
      </c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86"/>
      <c r="AE120" s="34">
        <v>1000000</v>
      </c>
      <c r="AF120" s="127">
        <f>(AE120/AE$13)*100</f>
        <v>7.5786312836539776E-3</v>
      </c>
      <c r="AG120" s="127"/>
      <c r="AH120" s="196"/>
      <c r="AI120" s="190"/>
      <c r="AJ120" s="190"/>
      <c r="AK120" s="188">
        <f>+AE120/2</f>
        <v>500000</v>
      </c>
      <c r="AL120" s="189"/>
      <c r="AM120" s="188"/>
      <c r="AN120" s="188">
        <f>+AK120</f>
        <v>500000</v>
      </c>
      <c r="AO120" s="183"/>
      <c r="AP120" s="183"/>
      <c r="AQ120" s="183"/>
      <c r="AR120" s="183"/>
      <c r="AS120" s="273"/>
      <c r="AT120" s="156"/>
      <c r="AU120" s="157">
        <f t="shared" si="10"/>
        <v>1000000</v>
      </c>
    </row>
    <row r="121" spans="2:47" hidden="1" x14ac:dyDescent="0.25">
      <c r="B121" s="83"/>
      <c r="C121" s="82"/>
      <c r="D121" s="82"/>
      <c r="E121" s="82"/>
      <c r="F121" s="82"/>
      <c r="G121" s="325"/>
      <c r="H121" s="326"/>
      <c r="I121" s="326"/>
      <c r="J121" s="326"/>
      <c r="K121" s="326"/>
      <c r="L121" s="326"/>
      <c r="M121" s="326"/>
      <c r="N121" s="326"/>
      <c r="O121" s="326"/>
      <c r="P121" s="326"/>
      <c r="Q121" s="326"/>
      <c r="R121" s="326"/>
      <c r="S121" s="326"/>
      <c r="T121" s="326"/>
      <c r="U121" s="326"/>
      <c r="V121" s="326"/>
      <c r="W121" s="326"/>
      <c r="X121" s="326"/>
      <c r="Y121" s="326"/>
      <c r="Z121" s="326"/>
      <c r="AA121" s="326"/>
      <c r="AB121" s="326"/>
      <c r="AC121" s="326"/>
      <c r="AD121" s="327"/>
      <c r="AE121" s="74"/>
      <c r="AF121" s="127"/>
      <c r="AG121" s="127"/>
      <c r="AH121" s="188"/>
      <c r="AI121" s="189"/>
      <c r="AJ121" s="188"/>
      <c r="AK121" s="188"/>
      <c r="AL121" s="189"/>
      <c r="AM121" s="188"/>
      <c r="AN121" s="188"/>
      <c r="AO121" s="183"/>
      <c r="AP121" s="194"/>
      <c r="AQ121" s="195"/>
      <c r="AR121" s="195"/>
      <c r="AS121" s="276"/>
      <c r="AT121" s="156"/>
      <c r="AU121" s="157">
        <f t="shared" si="10"/>
        <v>0</v>
      </c>
    </row>
    <row r="122" spans="2:47" hidden="1" x14ac:dyDescent="0.25">
      <c r="B122" s="83"/>
      <c r="C122" s="82"/>
      <c r="D122" s="82"/>
      <c r="E122" s="84"/>
      <c r="F122" s="84" t="s">
        <v>37</v>
      </c>
      <c r="G122" s="73" t="s">
        <v>88</v>
      </c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86"/>
      <c r="AE122" s="34">
        <v>2500000</v>
      </c>
      <c r="AF122" s="127">
        <f>(AE122/AE$13)*100</f>
        <v>1.8946578209134944E-2</v>
      </c>
      <c r="AG122" s="127"/>
      <c r="AH122" s="196"/>
      <c r="AI122" s="189"/>
      <c r="AJ122" s="190">
        <f>+AE122/2</f>
        <v>1250000</v>
      </c>
      <c r="AK122" s="188"/>
      <c r="AL122" s="189"/>
      <c r="AM122" s="188"/>
      <c r="AN122" s="188">
        <f>+AJ122</f>
        <v>1250000</v>
      </c>
      <c r="AO122" s="183"/>
      <c r="AP122" s="183"/>
      <c r="AQ122" s="183"/>
      <c r="AR122" s="183"/>
      <c r="AS122" s="273"/>
      <c r="AT122" s="156"/>
      <c r="AU122" s="157">
        <f t="shared" si="10"/>
        <v>2500000</v>
      </c>
    </row>
    <row r="123" spans="2:47" hidden="1" x14ac:dyDescent="0.25">
      <c r="B123" s="83"/>
      <c r="C123" s="82"/>
      <c r="D123" s="82"/>
      <c r="E123" s="84"/>
      <c r="F123" s="84"/>
      <c r="G123" s="73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19"/>
      <c r="AD123" s="31"/>
      <c r="AE123" s="74"/>
      <c r="AF123" s="129"/>
      <c r="AG123" s="129"/>
      <c r="AH123" s="186"/>
      <c r="AI123" s="189"/>
      <c r="AJ123" s="188"/>
      <c r="AK123" s="188"/>
      <c r="AL123" s="189"/>
      <c r="AM123" s="188"/>
      <c r="AN123" s="188"/>
      <c r="AO123" s="183"/>
      <c r="AP123" s="194"/>
      <c r="AQ123" s="195"/>
      <c r="AR123" s="195"/>
      <c r="AS123" s="276"/>
      <c r="AT123" s="156"/>
      <c r="AU123" s="157">
        <f t="shared" si="10"/>
        <v>0</v>
      </c>
    </row>
    <row r="124" spans="2:47" hidden="1" x14ac:dyDescent="0.25">
      <c r="B124" s="83"/>
      <c r="C124" s="82"/>
      <c r="D124" s="82"/>
      <c r="E124" s="82"/>
      <c r="F124" s="84" t="s">
        <v>37</v>
      </c>
      <c r="G124" s="73" t="s">
        <v>133</v>
      </c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86"/>
      <c r="AE124" s="34">
        <f>+AE125+AE126</f>
        <v>136485000</v>
      </c>
      <c r="AF124" s="127">
        <f>(AE124/AE$13)*100</f>
        <v>1.0343694907495131</v>
      </c>
      <c r="AG124" s="127"/>
      <c r="AH124" s="186"/>
      <c r="AI124" s="189"/>
      <c r="AJ124" s="190"/>
      <c r="AK124" s="188"/>
      <c r="AL124" s="189"/>
      <c r="AM124" s="188"/>
      <c r="AN124" s="188"/>
      <c r="AO124" s="183"/>
      <c r="AP124" s="183"/>
      <c r="AQ124" s="183"/>
      <c r="AR124" s="183"/>
      <c r="AS124" s="273"/>
      <c r="AT124" s="156"/>
      <c r="AU124" s="157">
        <f t="shared" si="10"/>
        <v>0</v>
      </c>
    </row>
    <row r="125" spans="2:47" hidden="1" x14ac:dyDescent="0.25">
      <c r="B125" s="83"/>
      <c r="C125" s="82"/>
      <c r="D125" s="82"/>
      <c r="E125" s="82"/>
      <c r="F125" s="84"/>
      <c r="G125" s="73" t="s">
        <v>132</v>
      </c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86"/>
      <c r="AE125" s="74">
        <v>110085000</v>
      </c>
      <c r="AF125" s="127">
        <f>(AE125/AE$13)*100</f>
        <v>0.83429362486104819</v>
      </c>
      <c r="AG125" s="127"/>
      <c r="AH125" s="196">
        <v>3000000</v>
      </c>
      <c r="AI125" s="189">
        <v>10750000</v>
      </c>
      <c r="AJ125" s="190">
        <f>+AI125</f>
        <v>10750000</v>
      </c>
      <c r="AK125" s="190">
        <f t="shared" ref="AK125:AQ125" si="16">+AJ125</f>
        <v>10750000</v>
      </c>
      <c r="AL125" s="190">
        <f t="shared" si="16"/>
        <v>10750000</v>
      </c>
      <c r="AM125" s="190">
        <f t="shared" si="16"/>
        <v>10750000</v>
      </c>
      <c r="AN125" s="190">
        <f t="shared" si="16"/>
        <v>10750000</v>
      </c>
      <c r="AO125" s="190">
        <f t="shared" si="16"/>
        <v>10750000</v>
      </c>
      <c r="AP125" s="190">
        <f t="shared" si="16"/>
        <v>10750000</v>
      </c>
      <c r="AQ125" s="190">
        <f t="shared" si="16"/>
        <v>10750000</v>
      </c>
      <c r="AR125" s="190">
        <f>+AE125-AH125-AI125-AJ125-AK125-AL125-AM125-AN125-AO125-AP125-AQ125</f>
        <v>10335000</v>
      </c>
      <c r="AS125" s="273"/>
      <c r="AT125" s="156"/>
      <c r="AU125" s="157">
        <f t="shared" si="10"/>
        <v>110085000</v>
      </c>
    </row>
    <row r="126" spans="2:47" hidden="1" x14ac:dyDescent="0.25">
      <c r="B126" s="83"/>
      <c r="C126" s="82"/>
      <c r="D126" s="82"/>
      <c r="E126" s="82"/>
      <c r="F126" s="84"/>
      <c r="G126" s="73" t="s">
        <v>131</v>
      </c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86"/>
      <c r="AE126" s="74">
        <v>26400000</v>
      </c>
      <c r="AF126" s="127">
        <f>(AE126/AE$13)*100</f>
        <v>0.20007586588846499</v>
      </c>
      <c r="AG126" s="127"/>
      <c r="AH126" s="196"/>
      <c r="AI126" s="189">
        <f>+AE126/3</f>
        <v>8800000</v>
      </c>
      <c r="AJ126" s="190"/>
      <c r="AK126" s="188"/>
      <c r="AL126" s="189"/>
      <c r="AM126" s="188">
        <f>+AI126</f>
        <v>8800000</v>
      </c>
      <c r="AN126" s="188"/>
      <c r="AO126" s="183"/>
      <c r="AP126" s="183"/>
      <c r="AQ126" s="183">
        <f>+AM126</f>
        <v>8800000</v>
      </c>
      <c r="AR126" s="183"/>
      <c r="AS126" s="273"/>
      <c r="AT126" s="156"/>
      <c r="AU126" s="157">
        <f t="shared" si="10"/>
        <v>26400000</v>
      </c>
    </row>
    <row r="127" spans="2:47" hidden="1" x14ac:dyDescent="0.25">
      <c r="B127" s="83"/>
      <c r="C127" s="82"/>
      <c r="D127" s="82"/>
      <c r="E127" s="82"/>
      <c r="F127" s="84"/>
      <c r="G127" s="325"/>
      <c r="H127" s="326"/>
      <c r="I127" s="326"/>
      <c r="J127" s="326"/>
      <c r="K127" s="326"/>
      <c r="L127" s="326"/>
      <c r="M127" s="326"/>
      <c r="N127" s="326"/>
      <c r="O127" s="326"/>
      <c r="P127" s="326"/>
      <c r="Q127" s="326"/>
      <c r="R127" s="326"/>
      <c r="S127" s="326"/>
      <c r="T127" s="326"/>
      <c r="U127" s="326"/>
      <c r="V127" s="326"/>
      <c r="W127" s="326"/>
      <c r="X127" s="326"/>
      <c r="Y127" s="326"/>
      <c r="Z127" s="326"/>
      <c r="AA127" s="326"/>
      <c r="AB127" s="326"/>
      <c r="AC127" s="326"/>
      <c r="AD127" s="327"/>
      <c r="AE127" s="74"/>
      <c r="AF127" s="127"/>
      <c r="AG127" s="127"/>
      <c r="AH127" s="188"/>
      <c r="AI127" s="189"/>
      <c r="AJ127" s="188"/>
      <c r="AK127" s="188"/>
      <c r="AL127" s="189"/>
      <c r="AM127" s="188"/>
      <c r="AN127" s="188"/>
      <c r="AO127" s="183"/>
      <c r="AP127" s="194"/>
      <c r="AQ127" s="195"/>
      <c r="AR127" s="195"/>
      <c r="AS127" s="276"/>
      <c r="AT127" s="156"/>
      <c r="AU127" s="157">
        <f t="shared" si="10"/>
        <v>0</v>
      </c>
    </row>
    <row r="128" spans="2:47" hidden="1" x14ac:dyDescent="0.25">
      <c r="B128" s="83"/>
      <c r="C128" s="82"/>
      <c r="D128" s="82"/>
      <c r="E128" s="82"/>
      <c r="F128" s="84" t="s">
        <v>37</v>
      </c>
      <c r="G128" s="1025" t="s">
        <v>134</v>
      </c>
      <c r="H128" s="1026"/>
      <c r="I128" s="1026"/>
      <c r="J128" s="1026"/>
      <c r="K128" s="1026"/>
      <c r="L128" s="1026"/>
      <c r="M128" s="1026"/>
      <c r="N128" s="1026"/>
      <c r="O128" s="1026"/>
      <c r="P128" s="1026"/>
      <c r="Q128" s="1026"/>
      <c r="R128" s="1026"/>
      <c r="S128" s="1026"/>
      <c r="T128" s="1026"/>
      <c r="U128" s="1026"/>
      <c r="V128" s="1026"/>
      <c r="W128" s="1026"/>
      <c r="X128" s="1026"/>
      <c r="Y128" s="1026"/>
      <c r="Z128" s="1026"/>
      <c r="AA128" s="1026"/>
      <c r="AB128" s="1026"/>
      <c r="AC128" s="1026"/>
      <c r="AD128" s="1027"/>
      <c r="AE128" s="34">
        <f>SUM(AE129:AE132)</f>
        <v>200000000</v>
      </c>
      <c r="AF128" s="127">
        <f>(AE128/AE$13)*100</f>
        <v>1.5157262567307956</v>
      </c>
      <c r="AG128" s="127"/>
      <c r="AH128" s="186"/>
      <c r="AI128" s="190"/>
      <c r="AJ128" s="188"/>
      <c r="AK128" s="188"/>
      <c r="AL128" s="189"/>
      <c r="AM128" s="188"/>
      <c r="AN128" s="188"/>
      <c r="AO128" s="183"/>
      <c r="AP128" s="183"/>
      <c r="AQ128" s="183"/>
      <c r="AR128" s="183"/>
      <c r="AS128" s="273"/>
      <c r="AT128" s="156"/>
      <c r="AU128" s="157">
        <f t="shared" si="10"/>
        <v>0</v>
      </c>
    </row>
    <row r="129" spans="2:49" hidden="1" x14ac:dyDescent="0.25">
      <c r="B129" s="83"/>
      <c r="C129" s="82"/>
      <c r="D129" s="82"/>
      <c r="E129" s="82"/>
      <c r="F129" s="82"/>
      <c r="G129" s="126">
        <v>1</v>
      </c>
      <c r="H129" s="75" t="s">
        <v>135</v>
      </c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19"/>
      <c r="AD129" s="31"/>
      <c r="AE129" s="74">
        <v>50000000</v>
      </c>
      <c r="AF129" s="127">
        <f>(AE129/AE$13)*100</f>
        <v>0.37893156418269891</v>
      </c>
      <c r="AG129" s="127"/>
      <c r="AH129" s="196"/>
      <c r="AI129" s="190"/>
      <c r="AJ129" s="188">
        <f>0.3*AE129</f>
        <v>15000000</v>
      </c>
      <c r="AK129" s="189"/>
      <c r="AL129" s="188"/>
      <c r="AM129" s="188">
        <f>0.7*AE129</f>
        <v>35000000</v>
      </c>
      <c r="AN129" s="305"/>
      <c r="AO129" s="183"/>
      <c r="AP129" s="183"/>
      <c r="AQ129" s="183"/>
      <c r="AR129" s="183"/>
      <c r="AS129" s="273"/>
      <c r="AT129" s="156"/>
      <c r="AU129" s="157">
        <f t="shared" si="10"/>
        <v>50000000</v>
      </c>
    </row>
    <row r="130" spans="2:49" ht="13.8" hidden="1" x14ac:dyDescent="0.25">
      <c r="B130" s="83"/>
      <c r="C130" s="82"/>
      <c r="D130" s="82"/>
      <c r="E130" s="82"/>
      <c r="F130" s="82"/>
      <c r="G130" s="115">
        <f>+G129+1</f>
        <v>2</v>
      </c>
      <c r="H130" s="75" t="s">
        <v>136</v>
      </c>
      <c r="I130" s="56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19"/>
      <c r="AD130" s="31"/>
      <c r="AE130" s="74">
        <v>50000000</v>
      </c>
      <c r="AF130" s="127">
        <f>(AE130/AE$13)*100</f>
        <v>0.37893156418269891</v>
      </c>
      <c r="AG130" s="127"/>
      <c r="AH130" s="196"/>
      <c r="AI130" s="190"/>
      <c r="AJ130" s="188">
        <f>0.3*AE130</f>
        <v>15000000</v>
      </c>
      <c r="AK130" s="189"/>
      <c r="AL130" s="188"/>
      <c r="AM130" s="188">
        <f>0.7*AE130</f>
        <v>35000000</v>
      </c>
      <c r="AN130" s="305"/>
      <c r="AO130" s="183"/>
      <c r="AP130" s="183"/>
      <c r="AQ130" s="183"/>
      <c r="AR130" s="183"/>
      <c r="AS130" s="273"/>
      <c r="AT130" s="156"/>
      <c r="AU130" s="157">
        <f t="shared" si="10"/>
        <v>50000000</v>
      </c>
    </row>
    <row r="131" spans="2:49" hidden="1" x14ac:dyDescent="0.25">
      <c r="B131" s="83"/>
      <c r="C131" s="82"/>
      <c r="D131" s="82"/>
      <c r="E131" s="82"/>
      <c r="F131" s="82"/>
      <c r="G131" s="115">
        <f>+G130+1</f>
        <v>3</v>
      </c>
      <c r="H131" s="75" t="s">
        <v>138</v>
      </c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7"/>
      <c r="AE131" s="74">
        <v>50000000</v>
      </c>
      <c r="AF131" s="127">
        <f>(AE131/AE$13)*100</f>
        <v>0.37893156418269891</v>
      </c>
      <c r="AG131" s="127"/>
      <c r="AH131" s="196"/>
      <c r="AI131" s="190"/>
      <c r="AJ131" s="208"/>
      <c r="AK131" s="188">
        <f>0.3*AE131</f>
        <v>15000000</v>
      </c>
      <c r="AL131" s="189"/>
      <c r="AM131" s="188"/>
      <c r="AN131" s="188">
        <f>0.7*AE131</f>
        <v>35000000</v>
      </c>
      <c r="AO131" s="183"/>
      <c r="AP131" s="183"/>
      <c r="AQ131" s="183"/>
      <c r="AR131" s="183"/>
      <c r="AS131" s="273"/>
      <c r="AT131" s="156"/>
      <c r="AU131" s="157">
        <f t="shared" si="10"/>
        <v>50000000</v>
      </c>
    </row>
    <row r="132" spans="2:49" hidden="1" x14ac:dyDescent="0.25">
      <c r="B132" s="83"/>
      <c r="C132" s="82"/>
      <c r="D132" s="82"/>
      <c r="E132" s="82"/>
      <c r="F132" s="82"/>
      <c r="G132" s="115">
        <f>+G131+1</f>
        <v>4</v>
      </c>
      <c r="H132" s="75" t="s">
        <v>137</v>
      </c>
      <c r="I132" s="59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48"/>
      <c r="AD132" s="49"/>
      <c r="AE132" s="74">
        <v>50000000</v>
      </c>
      <c r="AF132" s="127">
        <f>(AE132/AE$13)*100</f>
        <v>0.37893156418269891</v>
      </c>
      <c r="AG132" s="127"/>
      <c r="AH132" s="196"/>
      <c r="AI132" s="190"/>
      <c r="AJ132" s="188">
        <f>0.3*AE132</f>
        <v>15000000</v>
      </c>
      <c r="AK132" s="189"/>
      <c r="AL132" s="188"/>
      <c r="AM132" s="188">
        <f>0.7*AE132</f>
        <v>35000000</v>
      </c>
      <c r="AO132" s="183"/>
      <c r="AP132" s="183"/>
      <c r="AQ132" s="183"/>
      <c r="AR132" s="183"/>
      <c r="AS132" s="273"/>
      <c r="AT132" s="156"/>
      <c r="AU132" s="157">
        <f t="shared" si="10"/>
        <v>50000000</v>
      </c>
    </row>
    <row r="133" spans="2:49" ht="13.8" hidden="1" thickTop="1" x14ac:dyDescent="0.25">
      <c r="B133" s="235"/>
      <c r="C133" s="236"/>
      <c r="D133" s="236"/>
      <c r="E133" s="236"/>
      <c r="F133" s="236"/>
      <c r="G133" s="242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8"/>
      <c r="AD133" s="239"/>
      <c r="AE133" s="257">
        <f>SUM(AH133:AS133)</f>
        <v>3210321000</v>
      </c>
      <c r="AF133" s="240"/>
      <c r="AG133" s="240"/>
      <c r="AH133" s="241">
        <f>SUM(AH92:AH132)</f>
        <v>4000000</v>
      </c>
      <c r="AI133" s="241">
        <f t="shared" ref="AI133:AS133" si="17">SUM(AI92:AI132)</f>
        <v>23050000</v>
      </c>
      <c r="AJ133" s="241">
        <f>SUM(AJ92:AJ132)</f>
        <v>808282700</v>
      </c>
      <c r="AK133" s="241">
        <f t="shared" si="17"/>
        <v>133075000</v>
      </c>
      <c r="AL133" s="241">
        <f t="shared" si="17"/>
        <v>1320676300</v>
      </c>
      <c r="AM133" s="241">
        <f t="shared" si="17"/>
        <v>721375000</v>
      </c>
      <c r="AN133" s="241">
        <f t="shared" si="17"/>
        <v>142495000</v>
      </c>
      <c r="AO133" s="241">
        <f t="shared" si="17"/>
        <v>12732000</v>
      </c>
      <c r="AP133" s="241">
        <f t="shared" si="17"/>
        <v>11750000</v>
      </c>
      <c r="AQ133" s="241">
        <f t="shared" si="17"/>
        <v>20550000</v>
      </c>
      <c r="AR133" s="241">
        <f t="shared" si="17"/>
        <v>11335000</v>
      </c>
      <c r="AS133" s="278">
        <f t="shared" si="17"/>
        <v>1000000</v>
      </c>
      <c r="AT133" s="156"/>
      <c r="AU133" s="157"/>
    </row>
    <row r="134" spans="2:49" ht="13.8" hidden="1" thickBot="1" x14ac:dyDescent="0.3">
      <c r="B134" s="99"/>
      <c r="C134" s="100"/>
      <c r="D134" s="100"/>
      <c r="E134" s="100"/>
      <c r="F134" s="100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62"/>
      <c r="AD134" s="244"/>
      <c r="AE134" s="266" t="s">
        <v>225</v>
      </c>
      <c r="AF134" s="245"/>
      <c r="AG134" s="245"/>
      <c r="AH134" s="246">
        <f>+AH133+AI133+AJ133</f>
        <v>835332700</v>
      </c>
      <c r="AI134" s="247"/>
      <c r="AJ134" s="246"/>
      <c r="AK134" s="253">
        <f>+AK133+AL133+AM133</f>
        <v>2175126300</v>
      </c>
      <c r="AL134" s="249"/>
      <c r="AM134" s="248"/>
      <c r="AN134" s="254">
        <f>+AN133+AO133+AP133</f>
        <v>166977000</v>
      </c>
      <c r="AO134" s="250"/>
      <c r="AP134" s="251"/>
      <c r="AQ134" s="255">
        <f>+AQ133+AR133+AS133</f>
        <v>32885000</v>
      </c>
      <c r="AR134" s="252"/>
      <c r="AS134" s="279"/>
      <c r="AT134" s="156"/>
      <c r="AU134" s="157"/>
    </row>
    <row r="135" spans="2:49" s="109" customFormat="1" ht="19.5" hidden="1" customHeight="1" x14ac:dyDescent="0.25">
      <c r="B135" s="151" t="s">
        <v>213</v>
      </c>
      <c r="C135" s="146"/>
      <c r="D135" s="146"/>
      <c r="E135" s="146"/>
      <c r="F135" s="146"/>
      <c r="G135" s="146"/>
      <c r="H135" s="146"/>
      <c r="I135" s="1037" t="s">
        <v>216</v>
      </c>
      <c r="J135" s="1037"/>
      <c r="K135" s="1037"/>
      <c r="L135" s="1037"/>
      <c r="M135" s="1037"/>
      <c r="N135" s="1037"/>
      <c r="O135" s="1037"/>
      <c r="P135" s="1037"/>
      <c r="Q135" s="1037"/>
      <c r="R135" s="1037"/>
      <c r="S135" s="1037"/>
      <c r="T135" s="1037"/>
      <c r="U135" s="1037"/>
      <c r="V135" s="1037"/>
      <c r="W135" s="1037"/>
      <c r="X135" s="1037"/>
      <c r="Y135" s="1037"/>
      <c r="Z135" s="1037"/>
      <c r="AA135" s="1037"/>
      <c r="AB135" s="1037"/>
      <c r="AC135" s="1037"/>
      <c r="AD135" s="1038"/>
      <c r="AE135" s="147">
        <f>+AE137+AE184+AE216</f>
        <v>5033361750</v>
      </c>
      <c r="AF135" s="148">
        <f>(AE135/AE$13)*100</f>
        <v>38.145992820497334</v>
      </c>
      <c r="AG135" s="148"/>
      <c r="AH135" s="197"/>
      <c r="AI135" s="209"/>
      <c r="AJ135" s="199"/>
      <c r="AK135" s="199"/>
      <c r="AL135" s="210"/>
      <c r="AM135" s="199"/>
      <c r="AN135" s="199"/>
      <c r="AO135" s="211"/>
      <c r="AP135" s="211"/>
      <c r="AQ135" s="211"/>
      <c r="AR135" s="211"/>
      <c r="AS135" s="281"/>
      <c r="AT135" s="212"/>
      <c r="AU135" s="157">
        <f t="shared" si="10"/>
        <v>0</v>
      </c>
      <c r="AV135" s="149"/>
      <c r="AW135" s="149"/>
    </row>
    <row r="136" spans="2:49" s="110" customFormat="1" ht="13.8" hidden="1" x14ac:dyDescent="0.25">
      <c r="B136" s="328"/>
      <c r="C136" s="69"/>
      <c r="D136" s="69"/>
      <c r="E136" s="69"/>
      <c r="F136" s="69"/>
      <c r="G136" s="69"/>
      <c r="H136" s="69"/>
      <c r="I136" s="1039"/>
      <c r="J136" s="1039"/>
      <c r="K136" s="1039"/>
      <c r="L136" s="1039"/>
      <c r="M136" s="1039"/>
      <c r="N136" s="1039"/>
      <c r="O136" s="1039"/>
      <c r="P136" s="1039"/>
      <c r="Q136" s="1039"/>
      <c r="R136" s="1039"/>
      <c r="S136" s="1039"/>
      <c r="T136" s="1039"/>
      <c r="U136" s="1039"/>
      <c r="V136" s="1039"/>
      <c r="W136" s="1039"/>
      <c r="X136" s="1039"/>
      <c r="Y136" s="1039"/>
      <c r="Z136" s="1039"/>
      <c r="AA136" s="1039"/>
      <c r="AB136" s="1039"/>
      <c r="AC136" s="1039"/>
      <c r="AD136" s="1040"/>
      <c r="AE136" s="74"/>
      <c r="AF136" s="127"/>
      <c r="AG136" s="127"/>
      <c r="AH136" s="188"/>
      <c r="AI136" s="190"/>
      <c r="AJ136" s="188"/>
      <c r="AK136" s="188"/>
      <c r="AL136" s="190"/>
      <c r="AM136" s="188"/>
      <c r="AN136" s="188"/>
      <c r="AO136" s="183"/>
      <c r="AP136" s="183"/>
      <c r="AQ136" s="183"/>
      <c r="AR136" s="183"/>
      <c r="AS136" s="273"/>
      <c r="AT136" s="213"/>
      <c r="AU136" s="157">
        <f t="shared" si="10"/>
        <v>0</v>
      </c>
    </row>
    <row r="137" spans="2:49" hidden="1" x14ac:dyDescent="0.25">
      <c r="B137" s="329" t="s">
        <v>214</v>
      </c>
      <c r="C137" s="132"/>
      <c r="D137" s="132"/>
      <c r="E137" s="132"/>
      <c r="F137" s="132"/>
      <c r="G137" s="133"/>
      <c r="H137" s="134"/>
      <c r="I137" s="134" t="s">
        <v>215</v>
      </c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5"/>
      <c r="AD137" s="136"/>
      <c r="AE137" s="103">
        <f>+AE138</f>
        <v>2824752000</v>
      </c>
      <c r="AF137" s="129">
        <f>(AE137/AE$13)*100</f>
        <v>21.40775387576414</v>
      </c>
      <c r="AG137" s="129"/>
      <c r="AH137" s="186"/>
      <c r="AI137" s="190"/>
      <c r="AJ137" s="188"/>
      <c r="AK137" s="188"/>
      <c r="AL137" s="190"/>
      <c r="AM137" s="188"/>
      <c r="AN137" s="188"/>
      <c r="AO137" s="183"/>
      <c r="AP137" s="183"/>
      <c r="AQ137" s="183"/>
      <c r="AR137" s="183"/>
      <c r="AS137" s="273"/>
      <c r="AT137" s="156"/>
      <c r="AU137" s="157">
        <f t="shared" si="10"/>
        <v>0</v>
      </c>
    </row>
    <row r="138" spans="2:49" hidden="1" x14ac:dyDescent="0.25">
      <c r="B138" s="328">
        <v>5</v>
      </c>
      <c r="C138" s="64">
        <v>2</v>
      </c>
      <c r="D138" s="65"/>
      <c r="E138" s="66"/>
      <c r="F138" s="66"/>
      <c r="G138" s="73" t="s">
        <v>120</v>
      </c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86"/>
      <c r="AE138" s="74">
        <f>+AE139</f>
        <v>2824752000</v>
      </c>
      <c r="AF138" s="127">
        <f>(AE138/AE$13)*100</f>
        <v>21.40775387576414</v>
      </c>
      <c r="AG138" s="127"/>
      <c r="AH138" s="186"/>
      <c r="AI138" s="190"/>
      <c r="AJ138" s="188"/>
      <c r="AK138" s="188"/>
      <c r="AL138" s="189"/>
      <c r="AM138" s="188"/>
      <c r="AN138" s="188"/>
      <c r="AO138" s="183"/>
      <c r="AP138" s="183"/>
      <c r="AQ138" s="183"/>
      <c r="AR138" s="183"/>
      <c r="AS138" s="273"/>
      <c r="AT138" s="156"/>
      <c r="AU138" s="157">
        <f t="shared" si="10"/>
        <v>0</v>
      </c>
    </row>
    <row r="139" spans="2:49" hidden="1" x14ac:dyDescent="0.25">
      <c r="B139" s="83">
        <v>5</v>
      </c>
      <c r="C139" s="82">
        <v>2</v>
      </c>
      <c r="D139" s="82">
        <v>2</v>
      </c>
      <c r="E139" s="82"/>
      <c r="F139" s="82" t="s">
        <v>33</v>
      </c>
      <c r="G139" s="44" t="s">
        <v>83</v>
      </c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6"/>
      <c r="AE139" s="34">
        <f>+AE142+AE151+AE157+AE162+AE166+AE168+AE170+AE173+AE175+AE177+AE179</f>
        <v>2824752000</v>
      </c>
      <c r="AF139" s="127">
        <f>(AE139/AE$13)*100</f>
        <v>21.40775387576414</v>
      </c>
      <c r="AG139" s="127"/>
      <c r="AH139" s="116"/>
      <c r="AI139" s="189"/>
      <c r="AJ139" s="188"/>
      <c r="AK139" s="117"/>
      <c r="AL139" s="189"/>
      <c r="AM139" s="188"/>
      <c r="AN139" s="188"/>
      <c r="AO139" s="183"/>
      <c r="AP139" s="183"/>
      <c r="AQ139" s="183"/>
      <c r="AR139" s="183"/>
      <c r="AS139" s="273"/>
      <c r="AT139" s="156"/>
      <c r="AU139" s="157">
        <f t="shared" si="10"/>
        <v>0</v>
      </c>
    </row>
    <row r="140" spans="2:49" hidden="1" x14ac:dyDescent="0.25">
      <c r="B140" s="83">
        <v>5</v>
      </c>
      <c r="C140" s="82">
        <v>2</v>
      </c>
      <c r="D140" s="82">
        <v>2</v>
      </c>
      <c r="E140" s="82">
        <v>27</v>
      </c>
      <c r="F140" s="82"/>
      <c r="G140" s="325" t="s">
        <v>119</v>
      </c>
      <c r="H140" s="323"/>
      <c r="I140" s="323"/>
      <c r="J140" s="323"/>
      <c r="K140" s="323"/>
      <c r="L140" s="323"/>
      <c r="M140" s="323"/>
      <c r="N140" s="323"/>
      <c r="O140" s="323"/>
      <c r="P140" s="323"/>
      <c r="Q140" s="323"/>
      <c r="R140" s="323"/>
      <c r="S140" s="323"/>
      <c r="T140" s="323"/>
      <c r="U140" s="323"/>
      <c r="V140" s="323"/>
      <c r="W140" s="323"/>
      <c r="X140" s="323"/>
      <c r="Y140" s="323"/>
      <c r="Z140" s="323"/>
      <c r="AA140" s="323"/>
      <c r="AB140" s="323"/>
      <c r="AC140" s="323"/>
      <c r="AD140" s="324"/>
      <c r="AE140" s="34"/>
      <c r="AF140" s="127"/>
      <c r="AG140" s="127"/>
      <c r="AH140" s="117"/>
      <c r="AI140" s="189"/>
      <c r="AJ140" s="188"/>
      <c r="AK140" s="117"/>
      <c r="AL140" s="189"/>
      <c r="AM140" s="188"/>
      <c r="AN140" s="188"/>
      <c r="AO140" s="183"/>
      <c r="AP140" s="183"/>
      <c r="AQ140" s="183"/>
      <c r="AR140" s="183"/>
      <c r="AS140" s="273"/>
      <c r="AT140" s="156"/>
      <c r="AU140" s="157">
        <f t="shared" si="10"/>
        <v>0</v>
      </c>
    </row>
    <row r="141" spans="2:49" hidden="1" x14ac:dyDescent="0.25">
      <c r="B141" s="83">
        <v>5</v>
      </c>
      <c r="C141" s="82">
        <v>2</v>
      </c>
      <c r="D141" s="82">
        <v>2</v>
      </c>
      <c r="E141" s="82">
        <v>27</v>
      </c>
      <c r="F141" s="84" t="s">
        <v>5</v>
      </c>
      <c r="G141" s="325" t="s">
        <v>121</v>
      </c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3"/>
      <c r="AD141" s="324"/>
      <c r="AE141" s="34"/>
      <c r="AF141" s="127"/>
      <c r="AG141" s="127"/>
      <c r="AH141" s="196"/>
      <c r="AI141" s="189"/>
      <c r="AJ141" s="188"/>
      <c r="AK141" s="188"/>
      <c r="AL141" s="189"/>
      <c r="AM141" s="188"/>
      <c r="AN141" s="188"/>
      <c r="AO141" s="183"/>
      <c r="AP141" s="183"/>
      <c r="AQ141" s="183"/>
      <c r="AR141" s="183"/>
      <c r="AS141" s="273"/>
      <c r="AT141" s="156"/>
      <c r="AU141" s="157">
        <f t="shared" si="10"/>
        <v>0</v>
      </c>
    </row>
    <row r="142" spans="2:49" hidden="1" x14ac:dyDescent="0.25">
      <c r="B142" s="83"/>
      <c r="C142" s="82"/>
      <c r="D142" s="82"/>
      <c r="E142" s="82"/>
      <c r="F142" s="84" t="s">
        <v>37</v>
      </c>
      <c r="G142" s="325" t="s">
        <v>141</v>
      </c>
      <c r="H142" s="323"/>
      <c r="I142" s="323"/>
      <c r="J142" s="323"/>
      <c r="K142" s="323"/>
      <c r="L142" s="323"/>
      <c r="M142" s="323"/>
      <c r="N142" s="323"/>
      <c r="O142" s="323"/>
      <c r="P142" s="323"/>
      <c r="Q142" s="323"/>
      <c r="R142" s="323"/>
      <c r="S142" s="323"/>
      <c r="T142" s="323"/>
      <c r="U142" s="323"/>
      <c r="V142" s="323"/>
      <c r="W142" s="323"/>
      <c r="X142" s="323"/>
      <c r="Y142" s="323"/>
      <c r="Z142" s="323"/>
      <c r="AA142" s="323"/>
      <c r="AB142" s="323"/>
      <c r="AC142" s="323"/>
      <c r="AD142" s="324"/>
      <c r="AE142" s="34">
        <f>SUM(AE143:AE149)</f>
        <v>2525000000</v>
      </c>
      <c r="AF142" s="127">
        <f t="shared" ref="AF142:AF149" si="18">(AE142/AE$13)*100</f>
        <v>19.136043991226295</v>
      </c>
      <c r="AG142" s="127"/>
      <c r="AH142" s="196"/>
      <c r="AI142" s="189"/>
      <c r="AJ142" s="188"/>
      <c r="AK142" s="188"/>
      <c r="AL142" s="189"/>
      <c r="AM142" s="188"/>
      <c r="AN142" s="188"/>
      <c r="AO142" s="183"/>
      <c r="AP142" s="183"/>
      <c r="AQ142" s="195"/>
      <c r="AR142" s="195"/>
      <c r="AS142" s="276"/>
      <c r="AT142" s="156"/>
      <c r="AU142" s="157">
        <f t="shared" si="10"/>
        <v>0</v>
      </c>
    </row>
    <row r="143" spans="2:49" hidden="1" x14ac:dyDescent="0.25">
      <c r="B143" s="83"/>
      <c r="C143" s="82"/>
      <c r="D143" s="82"/>
      <c r="E143" s="82"/>
      <c r="F143" s="82"/>
      <c r="G143" s="125">
        <v>1</v>
      </c>
      <c r="H143" s="326" t="s">
        <v>250</v>
      </c>
      <c r="I143" s="323"/>
      <c r="J143" s="323"/>
      <c r="K143" s="323"/>
      <c r="L143" s="323"/>
      <c r="M143" s="323"/>
      <c r="N143" s="323"/>
      <c r="O143" s="323"/>
      <c r="P143" s="323"/>
      <c r="Q143" s="323"/>
      <c r="R143" s="323"/>
      <c r="S143" s="323"/>
      <c r="T143" s="323"/>
      <c r="U143" s="323"/>
      <c r="V143" s="323"/>
      <c r="W143" s="323"/>
      <c r="X143" s="323"/>
      <c r="Y143" s="323"/>
      <c r="Z143" s="323"/>
      <c r="AA143" s="323"/>
      <c r="AB143" s="323"/>
      <c r="AC143" s="323"/>
      <c r="AD143" s="324"/>
      <c r="AE143" s="74">
        <v>450000000</v>
      </c>
      <c r="AF143" s="127">
        <f t="shared" si="18"/>
        <v>3.4103840776442897</v>
      </c>
      <c r="AG143" s="127"/>
      <c r="AH143" s="117"/>
      <c r="AI143" s="189"/>
      <c r="AJ143" s="188">
        <f>0.3*AE143</f>
        <v>135000000</v>
      </c>
      <c r="AK143" s="189">
        <f>0.5*AE143-(0.5*AJ143)</f>
        <v>157500000</v>
      </c>
      <c r="AL143" s="188">
        <f>+AK143</f>
        <v>157500000</v>
      </c>
      <c r="AM143" s="188"/>
      <c r="AN143" s="183"/>
      <c r="AO143" s="183"/>
      <c r="AP143" s="183"/>
      <c r="AQ143" s="183"/>
      <c r="AR143" s="183"/>
      <c r="AS143" s="273"/>
      <c r="AT143" s="156"/>
      <c r="AU143" s="157">
        <f t="shared" si="10"/>
        <v>450000000</v>
      </c>
    </row>
    <row r="144" spans="2:49" hidden="1" x14ac:dyDescent="0.25">
      <c r="B144" s="83"/>
      <c r="C144" s="82"/>
      <c r="D144" s="82"/>
      <c r="E144" s="82"/>
      <c r="F144" s="82"/>
      <c r="G144" s="125">
        <f>+G143+1</f>
        <v>2</v>
      </c>
      <c r="H144" s="326" t="s">
        <v>142</v>
      </c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3"/>
      <c r="U144" s="323"/>
      <c r="V144" s="323"/>
      <c r="W144" s="323"/>
      <c r="X144" s="323"/>
      <c r="Y144" s="323"/>
      <c r="Z144" s="323"/>
      <c r="AA144" s="323"/>
      <c r="AB144" s="323"/>
      <c r="AC144" s="323"/>
      <c r="AD144" s="324"/>
      <c r="AE144" s="74">
        <v>450000000</v>
      </c>
      <c r="AF144" s="127">
        <f t="shared" si="18"/>
        <v>3.4103840776442897</v>
      </c>
      <c r="AG144" s="127"/>
      <c r="AH144" s="196"/>
      <c r="AI144" s="189"/>
      <c r="AJ144" s="188"/>
      <c r="AK144" s="188"/>
      <c r="AL144" s="188"/>
      <c r="AM144" s="188">
        <f>0.3*AE144</f>
        <v>135000000</v>
      </c>
      <c r="AN144" s="188">
        <f>0.5*AE144-(0.5*AM144)</f>
        <v>157500000</v>
      </c>
      <c r="AO144" s="183">
        <f>+AN144</f>
        <v>157500000</v>
      </c>
      <c r="AP144" s="183"/>
      <c r="AQ144" s="183"/>
      <c r="AR144" s="183"/>
      <c r="AS144" s="273"/>
      <c r="AT144" s="156"/>
      <c r="AU144" s="157">
        <f t="shared" si="10"/>
        <v>450000000</v>
      </c>
    </row>
    <row r="145" spans="2:47" hidden="1" x14ac:dyDescent="0.25">
      <c r="B145" s="83"/>
      <c r="C145" s="82"/>
      <c r="D145" s="82"/>
      <c r="E145" s="82"/>
      <c r="F145" s="82"/>
      <c r="G145" s="125">
        <f t="shared" ref="G145:G155" si="19">+G144+1</f>
        <v>3</v>
      </c>
      <c r="H145" s="326" t="s">
        <v>249</v>
      </c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23"/>
      <c r="AB145" s="323"/>
      <c r="AC145" s="323"/>
      <c r="AD145" s="324"/>
      <c r="AE145" s="74">
        <v>400000000</v>
      </c>
      <c r="AF145" s="127">
        <f t="shared" si="18"/>
        <v>3.0314525134615913</v>
      </c>
      <c r="AG145" s="127"/>
      <c r="AH145" s="196"/>
      <c r="AI145" s="189"/>
      <c r="AJ145" s="188">
        <f>0.3*AE145</f>
        <v>120000000</v>
      </c>
      <c r="AK145" s="189">
        <f>0.5*AE145-(0.5*AJ145)</f>
        <v>140000000</v>
      </c>
      <c r="AL145" s="188">
        <f>+AK145</f>
        <v>140000000</v>
      </c>
      <c r="AM145" s="188"/>
      <c r="AN145" s="183"/>
      <c r="AO145" s="194"/>
      <c r="AP145" s="183"/>
      <c r="AQ145" s="195"/>
      <c r="AR145" s="195"/>
      <c r="AS145" s="276"/>
      <c r="AT145" s="156"/>
      <c r="AU145" s="157">
        <f t="shared" si="10"/>
        <v>400000000</v>
      </c>
    </row>
    <row r="146" spans="2:47" hidden="1" x14ac:dyDescent="0.25">
      <c r="B146" s="83"/>
      <c r="C146" s="82"/>
      <c r="D146" s="82"/>
      <c r="E146" s="82"/>
      <c r="F146" s="82"/>
      <c r="G146" s="125">
        <f t="shared" si="19"/>
        <v>4</v>
      </c>
      <c r="H146" s="326" t="s">
        <v>246</v>
      </c>
      <c r="I146" s="323"/>
      <c r="J146" s="323"/>
      <c r="K146" s="323"/>
      <c r="L146" s="323"/>
      <c r="M146" s="323"/>
      <c r="N146" s="323"/>
      <c r="O146" s="323"/>
      <c r="P146" s="323"/>
      <c r="Q146" s="323"/>
      <c r="R146" s="323"/>
      <c r="S146" s="323"/>
      <c r="T146" s="323"/>
      <c r="U146" s="323"/>
      <c r="V146" s="323"/>
      <c r="W146" s="323"/>
      <c r="X146" s="323"/>
      <c r="Y146" s="323"/>
      <c r="Z146" s="323"/>
      <c r="AA146" s="323"/>
      <c r="AB146" s="323"/>
      <c r="AC146" s="323"/>
      <c r="AD146" s="324"/>
      <c r="AE146" s="74">
        <v>530000000</v>
      </c>
      <c r="AF146" s="127">
        <f t="shared" si="18"/>
        <v>4.0166745803366082</v>
      </c>
      <c r="AG146" s="127"/>
      <c r="AH146" s="116"/>
      <c r="AI146" s="189"/>
      <c r="AJ146" s="188">
        <f>0.3*AE146</f>
        <v>159000000</v>
      </c>
      <c r="AK146" s="189">
        <f>0.5*AE146-(0.5*AJ146)</f>
        <v>185500000</v>
      </c>
      <c r="AL146" s="188">
        <f>+AK146</f>
        <v>185500000</v>
      </c>
      <c r="AM146" s="188"/>
      <c r="AN146" s="183"/>
      <c r="AO146" s="183"/>
      <c r="AP146" s="183"/>
      <c r="AQ146" s="183"/>
      <c r="AR146" s="183"/>
      <c r="AS146" s="273"/>
      <c r="AT146" s="156"/>
      <c r="AU146" s="157">
        <f t="shared" si="10"/>
        <v>530000000</v>
      </c>
    </row>
    <row r="147" spans="2:47" hidden="1" x14ac:dyDescent="0.25">
      <c r="B147" s="83"/>
      <c r="C147" s="82"/>
      <c r="D147" s="82"/>
      <c r="E147" s="82"/>
      <c r="F147" s="82"/>
      <c r="G147" s="125">
        <f>+G146+1</f>
        <v>5</v>
      </c>
      <c r="H147" s="326" t="s">
        <v>247</v>
      </c>
      <c r="I147" s="323"/>
      <c r="J147" s="323"/>
      <c r="K147" s="323"/>
      <c r="L147" s="323"/>
      <c r="M147" s="323"/>
      <c r="N147" s="323"/>
      <c r="O147" s="323"/>
      <c r="P147" s="323"/>
      <c r="Q147" s="323"/>
      <c r="R147" s="323"/>
      <c r="S147" s="323"/>
      <c r="T147" s="323"/>
      <c r="U147" s="323"/>
      <c r="V147" s="323"/>
      <c r="W147" s="323"/>
      <c r="X147" s="323"/>
      <c r="Y147" s="323"/>
      <c r="Z147" s="323"/>
      <c r="AA147" s="323"/>
      <c r="AB147" s="323"/>
      <c r="AC147" s="323"/>
      <c r="AD147" s="324"/>
      <c r="AE147" s="74">
        <v>500000000</v>
      </c>
      <c r="AF147" s="127">
        <f t="shared" si="18"/>
        <v>3.7893156418269887</v>
      </c>
      <c r="AG147" s="127"/>
      <c r="AH147" s="117"/>
      <c r="AI147" s="189"/>
      <c r="AJ147" s="188">
        <f>0.3*AE147</f>
        <v>150000000</v>
      </c>
      <c r="AK147" s="189">
        <f>0.5*AE147-(0.5*AJ147)</f>
        <v>175000000</v>
      </c>
      <c r="AL147" s="188">
        <f>+AK147</f>
        <v>175000000</v>
      </c>
      <c r="AM147" s="188"/>
      <c r="AN147" s="183"/>
      <c r="AO147" s="183"/>
      <c r="AP147" s="183"/>
      <c r="AQ147" s="183"/>
      <c r="AR147" s="183"/>
      <c r="AS147" s="273"/>
      <c r="AT147" s="156"/>
      <c r="AU147" s="157">
        <f t="shared" si="10"/>
        <v>500000000</v>
      </c>
    </row>
    <row r="148" spans="2:47" hidden="1" x14ac:dyDescent="0.25">
      <c r="B148" s="83"/>
      <c r="C148" s="82"/>
      <c r="D148" s="82"/>
      <c r="E148" s="82"/>
      <c r="F148" s="82"/>
      <c r="G148" s="125">
        <f>+G147+1</f>
        <v>6</v>
      </c>
      <c r="H148" s="326" t="s">
        <v>248</v>
      </c>
      <c r="I148" s="323"/>
      <c r="J148" s="323"/>
      <c r="K148" s="323"/>
      <c r="L148" s="323"/>
      <c r="M148" s="323"/>
      <c r="N148" s="323"/>
      <c r="O148" s="323"/>
      <c r="P148" s="323"/>
      <c r="Q148" s="323"/>
      <c r="R148" s="323"/>
      <c r="S148" s="323"/>
      <c r="T148" s="323"/>
      <c r="U148" s="323"/>
      <c r="V148" s="323"/>
      <c r="W148" s="323"/>
      <c r="X148" s="323"/>
      <c r="Y148" s="323"/>
      <c r="Z148" s="323"/>
      <c r="AA148" s="323"/>
      <c r="AB148" s="323"/>
      <c r="AC148" s="323"/>
      <c r="AD148" s="324"/>
      <c r="AE148" s="74">
        <v>95000000</v>
      </c>
      <c r="AF148" s="127">
        <f t="shared" si="18"/>
        <v>0.71996997194712786</v>
      </c>
      <c r="AG148" s="127"/>
      <c r="AH148" s="117"/>
      <c r="AI148" s="189"/>
      <c r="AJ148" s="188">
        <f>0.3*AE148</f>
        <v>28500000</v>
      </c>
      <c r="AK148" s="189">
        <f>0.5*AE148-(0.5*AJ148)</f>
        <v>33250000</v>
      </c>
      <c r="AL148" s="188">
        <f>+AK148</f>
        <v>33250000</v>
      </c>
      <c r="AM148" s="188"/>
      <c r="AN148" s="183"/>
      <c r="AO148" s="183"/>
      <c r="AP148" s="183"/>
      <c r="AQ148" s="183"/>
      <c r="AR148" s="183"/>
      <c r="AS148" s="273"/>
      <c r="AT148" s="156"/>
      <c r="AU148" s="157">
        <f>SUM(AH148:AS148)</f>
        <v>95000000</v>
      </c>
    </row>
    <row r="149" spans="2:47" hidden="1" x14ac:dyDescent="0.25">
      <c r="B149" s="83"/>
      <c r="C149" s="82"/>
      <c r="D149" s="82"/>
      <c r="E149" s="82"/>
      <c r="F149" s="82"/>
      <c r="G149" s="125">
        <f>+G148+1</f>
        <v>7</v>
      </c>
      <c r="H149" s="326" t="s">
        <v>143</v>
      </c>
      <c r="I149" s="323"/>
      <c r="J149" s="323"/>
      <c r="K149" s="323"/>
      <c r="L149" s="323"/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23"/>
      <c r="Z149" s="323"/>
      <c r="AA149" s="323"/>
      <c r="AB149" s="323"/>
      <c r="AC149" s="323"/>
      <c r="AD149" s="324"/>
      <c r="AE149" s="74">
        <v>100000000</v>
      </c>
      <c r="AF149" s="127">
        <f t="shared" si="18"/>
        <v>0.75786312836539782</v>
      </c>
      <c r="AG149" s="127"/>
      <c r="AH149" s="196"/>
      <c r="AI149" s="189"/>
      <c r="AJ149" s="188">
        <f>0.3*AE149</f>
        <v>30000000</v>
      </c>
      <c r="AK149" s="189">
        <f>0.5*AE149-(0.5*AJ149)</f>
        <v>35000000</v>
      </c>
      <c r="AL149" s="188">
        <f>+AK149</f>
        <v>35000000</v>
      </c>
      <c r="AM149" s="188"/>
      <c r="AN149" s="183"/>
      <c r="AO149" s="183"/>
      <c r="AP149" s="183"/>
      <c r="AQ149" s="183"/>
      <c r="AR149" s="183"/>
      <c r="AS149" s="273"/>
      <c r="AT149" s="156"/>
      <c r="AU149" s="157">
        <f t="shared" si="10"/>
        <v>100000000</v>
      </c>
    </row>
    <row r="150" spans="2:47" hidden="1" x14ac:dyDescent="0.25">
      <c r="B150" s="83"/>
      <c r="C150" s="82"/>
      <c r="D150" s="82"/>
      <c r="E150" s="82"/>
      <c r="F150" s="82"/>
      <c r="G150" s="125"/>
      <c r="H150" s="326"/>
      <c r="I150" s="323"/>
      <c r="J150" s="323"/>
      <c r="K150" s="323"/>
      <c r="L150" s="323"/>
      <c r="M150" s="323"/>
      <c r="N150" s="323"/>
      <c r="O150" s="323"/>
      <c r="P150" s="323"/>
      <c r="Q150" s="323"/>
      <c r="R150" s="323"/>
      <c r="S150" s="323"/>
      <c r="T150" s="323"/>
      <c r="U150" s="323"/>
      <c r="V150" s="323"/>
      <c r="W150" s="323"/>
      <c r="X150" s="323"/>
      <c r="Y150" s="323"/>
      <c r="Z150" s="323"/>
      <c r="AA150" s="323"/>
      <c r="AB150" s="323"/>
      <c r="AC150" s="323"/>
      <c r="AD150" s="324"/>
      <c r="AE150" s="74"/>
      <c r="AF150" s="127"/>
      <c r="AG150" s="127"/>
      <c r="AH150" s="196"/>
      <c r="AI150" s="189"/>
      <c r="AJ150" s="188"/>
      <c r="AK150" s="188"/>
      <c r="AL150" s="189"/>
      <c r="AM150" s="188"/>
      <c r="AN150" s="188"/>
      <c r="AO150" s="183"/>
      <c r="AP150" s="183"/>
      <c r="AQ150" s="183"/>
      <c r="AR150" s="183"/>
      <c r="AS150" s="273"/>
      <c r="AT150" s="156"/>
      <c r="AU150" s="157">
        <f t="shared" si="10"/>
        <v>0</v>
      </c>
    </row>
    <row r="151" spans="2:47" hidden="1" x14ac:dyDescent="0.25">
      <c r="B151" s="83"/>
      <c r="C151" s="82"/>
      <c r="D151" s="82"/>
      <c r="E151" s="82"/>
      <c r="F151" s="84" t="s">
        <v>37</v>
      </c>
      <c r="G151" s="325" t="s">
        <v>144</v>
      </c>
      <c r="H151" s="323"/>
      <c r="I151" s="323"/>
      <c r="J151" s="323"/>
      <c r="K151" s="323"/>
      <c r="L151" s="323"/>
      <c r="M151" s="323"/>
      <c r="N151" s="323"/>
      <c r="O151" s="323"/>
      <c r="P151" s="323"/>
      <c r="Q151" s="323"/>
      <c r="R151" s="323"/>
      <c r="S151" s="323"/>
      <c r="T151" s="323"/>
      <c r="U151" s="323"/>
      <c r="V151" s="323"/>
      <c r="W151" s="323"/>
      <c r="X151" s="323"/>
      <c r="Y151" s="323"/>
      <c r="Z151" s="323"/>
      <c r="AA151" s="323"/>
      <c r="AB151" s="323"/>
      <c r="AC151" s="323"/>
      <c r="AD151" s="324"/>
      <c r="AE151" s="34">
        <f>SUM(AE152:AE155)</f>
        <v>200000000</v>
      </c>
      <c r="AF151" s="127">
        <f>(AE151/AE$13)*100</f>
        <v>1.5157262567307956</v>
      </c>
      <c r="AG151" s="127"/>
      <c r="AH151" s="196"/>
      <c r="AI151" s="189"/>
      <c r="AJ151" s="188"/>
      <c r="AK151" s="188"/>
      <c r="AL151" s="189"/>
      <c r="AM151" s="188"/>
      <c r="AN151" s="188"/>
      <c r="AO151" s="183"/>
      <c r="AP151" s="183"/>
      <c r="AQ151" s="183"/>
      <c r="AR151" s="183"/>
      <c r="AS151" s="273"/>
      <c r="AT151" s="156"/>
      <c r="AU151" s="157">
        <f t="shared" si="10"/>
        <v>0</v>
      </c>
    </row>
    <row r="152" spans="2:47" hidden="1" x14ac:dyDescent="0.25">
      <c r="B152" s="83"/>
      <c r="C152" s="82"/>
      <c r="D152" s="82"/>
      <c r="E152" s="82"/>
      <c r="F152" s="82"/>
      <c r="G152" s="125">
        <v>1</v>
      </c>
      <c r="H152" s="326" t="s">
        <v>145</v>
      </c>
      <c r="I152" s="323"/>
      <c r="J152" s="323"/>
      <c r="K152" s="323"/>
      <c r="L152" s="323"/>
      <c r="M152" s="323"/>
      <c r="N152" s="323"/>
      <c r="O152" s="323"/>
      <c r="P152" s="323"/>
      <c r="Q152" s="323"/>
      <c r="R152" s="323"/>
      <c r="S152" s="323"/>
      <c r="T152" s="323"/>
      <c r="U152" s="323"/>
      <c r="V152" s="323"/>
      <c r="W152" s="323"/>
      <c r="X152" s="323"/>
      <c r="Y152" s="323"/>
      <c r="Z152" s="323"/>
      <c r="AA152" s="323"/>
      <c r="AB152" s="323"/>
      <c r="AC152" s="323"/>
      <c r="AD152" s="324"/>
      <c r="AE152" s="74">
        <v>50000000</v>
      </c>
      <c r="AF152" s="127">
        <f>(AE152/AE$13)*100</f>
        <v>0.37893156418269891</v>
      </c>
      <c r="AG152" s="127"/>
      <c r="AH152" s="196"/>
      <c r="AI152" s="189"/>
      <c r="AJ152" s="188">
        <f>0.3*AE152</f>
        <v>15000000</v>
      </c>
      <c r="AK152" s="189"/>
      <c r="AL152" s="188">
        <f>0.7*AE152</f>
        <v>35000000</v>
      </c>
      <c r="AN152" s="117"/>
      <c r="AO152" s="183"/>
      <c r="AP152" s="194"/>
      <c r="AQ152" s="195"/>
      <c r="AR152" s="195"/>
      <c r="AS152" s="276"/>
      <c r="AT152" s="156"/>
      <c r="AU152" s="157">
        <f t="shared" si="10"/>
        <v>50000000</v>
      </c>
    </row>
    <row r="153" spans="2:47" hidden="1" x14ac:dyDescent="0.25">
      <c r="B153" s="83"/>
      <c r="C153" s="82"/>
      <c r="D153" s="82"/>
      <c r="E153" s="82"/>
      <c r="F153" s="82"/>
      <c r="G153" s="125">
        <f t="shared" si="19"/>
        <v>2</v>
      </c>
      <c r="H153" s="326" t="s">
        <v>146</v>
      </c>
      <c r="I153" s="323"/>
      <c r="J153" s="323"/>
      <c r="K153" s="323"/>
      <c r="L153" s="323"/>
      <c r="M153" s="323"/>
      <c r="N153" s="323"/>
      <c r="O153" s="323"/>
      <c r="P153" s="323"/>
      <c r="Q153" s="323"/>
      <c r="R153" s="323"/>
      <c r="S153" s="323"/>
      <c r="T153" s="323"/>
      <c r="U153" s="323"/>
      <c r="V153" s="323"/>
      <c r="W153" s="323"/>
      <c r="X153" s="323"/>
      <c r="Y153" s="323"/>
      <c r="Z153" s="323"/>
      <c r="AA153" s="323"/>
      <c r="AB153" s="323"/>
      <c r="AC153" s="323"/>
      <c r="AD153" s="324"/>
      <c r="AE153" s="74">
        <v>50000000</v>
      </c>
      <c r="AF153" s="127">
        <f>(AE153/AE$13)*100</f>
        <v>0.37893156418269891</v>
      </c>
      <c r="AG153" s="127"/>
      <c r="AH153" s="116"/>
      <c r="AI153" s="303"/>
      <c r="AJ153" s="208"/>
      <c r="AK153" s="208"/>
      <c r="AL153" s="208"/>
      <c r="AM153" s="188">
        <f>0.3*AE153</f>
        <v>15000000</v>
      </c>
      <c r="AN153" s="189"/>
      <c r="AO153" s="188">
        <f>0.7*AE153</f>
        <v>35000000</v>
      </c>
      <c r="AP153" s="183"/>
      <c r="AQ153" s="183"/>
      <c r="AR153" s="183"/>
      <c r="AS153" s="273"/>
      <c r="AT153" s="156"/>
      <c r="AU153" s="157">
        <f t="shared" si="10"/>
        <v>50000000</v>
      </c>
    </row>
    <row r="154" spans="2:47" ht="12.75" hidden="1" customHeight="1" x14ac:dyDescent="0.25">
      <c r="B154" s="83"/>
      <c r="C154" s="82"/>
      <c r="D154" s="82"/>
      <c r="E154" s="82"/>
      <c r="F154" s="82"/>
      <c r="G154" s="124">
        <f t="shared" si="19"/>
        <v>3</v>
      </c>
      <c r="H154" s="326" t="s">
        <v>147</v>
      </c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324"/>
      <c r="AE154" s="74">
        <v>50000000</v>
      </c>
      <c r="AF154" s="127">
        <f>(AE154/AE$13)*100</f>
        <v>0.37893156418269891</v>
      </c>
      <c r="AG154" s="127"/>
      <c r="AH154" s="117"/>
      <c r="AI154" s="189"/>
      <c r="AJ154" s="188">
        <f>0.3*AE154</f>
        <v>15000000</v>
      </c>
      <c r="AK154" s="189"/>
      <c r="AL154" s="188">
        <f>0.7*AE154</f>
        <v>35000000</v>
      </c>
      <c r="AN154" s="188"/>
      <c r="AO154" s="183"/>
      <c r="AP154" s="183"/>
      <c r="AQ154" s="183"/>
      <c r="AR154" s="183"/>
      <c r="AS154" s="273"/>
      <c r="AT154" s="156"/>
      <c r="AU154" s="157">
        <f t="shared" ref="AU154:AU220" si="20">SUM(AH154:AS154)</f>
        <v>50000000</v>
      </c>
    </row>
    <row r="155" spans="2:47" hidden="1" x14ac:dyDescent="0.25">
      <c r="B155" s="83"/>
      <c r="C155" s="82"/>
      <c r="D155" s="82"/>
      <c r="E155" s="82"/>
      <c r="F155" s="82"/>
      <c r="G155" s="124">
        <f t="shared" si="19"/>
        <v>4</v>
      </c>
      <c r="H155" s="326" t="s">
        <v>148</v>
      </c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324"/>
      <c r="AE155" s="74">
        <v>50000000</v>
      </c>
      <c r="AF155" s="127"/>
      <c r="AG155" s="127"/>
      <c r="AH155" s="196"/>
      <c r="AI155" s="189"/>
      <c r="AJ155" s="188">
        <f>0.3*AE155</f>
        <v>15000000</v>
      </c>
      <c r="AK155" s="189"/>
      <c r="AL155" s="188">
        <f>0.7*AE155</f>
        <v>35000000</v>
      </c>
      <c r="AN155" s="188"/>
      <c r="AO155" s="183"/>
      <c r="AP155" s="183"/>
      <c r="AQ155" s="183"/>
      <c r="AR155" s="183"/>
      <c r="AS155" s="273"/>
      <c r="AT155" s="156"/>
      <c r="AU155" s="157">
        <f t="shared" si="20"/>
        <v>50000000</v>
      </c>
    </row>
    <row r="156" spans="2:47" hidden="1" x14ac:dyDescent="0.25">
      <c r="B156" s="83"/>
      <c r="C156" s="82"/>
      <c r="D156" s="82"/>
      <c r="E156" s="82"/>
      <c r="F156" s="82"/>
      <c r="G156" s="124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  <c r="U156" s="331"/>
      <c r="V156" s="331"/>
      <c r="W156" s="331"/>
      <c r="X156" s="331"/>
      <c r="Y156" s="331"/>
      <c r="Z156" s="331"/>
      <c r="AA156" s="331"/>
      <c r="AB156" s="331"/>
      <c r="AC156" s="331"/>
      <c r="AD156" s="324"/>
      <c r="AE156" s="74"/>
      <c r="AF156" s="127"/>
      <c r="AG156" s="127"/>
      <c r="AH156" s="196"/>
      <c r="AI156" s="189"/>
      <c r="AJ156" s="188"/>
      <c r="AK156" s="188"/>
      <c r="AL156" s="189"/>
      <c r="AM156" s="188"/>
      <c r="AN156" s="188"/>
      <c r="AO156" s="183"/>
      <c r="AP156" s="183"/>
      <c r="AQ156" s="183"/>
      <c r="AR156" s="183"/>
      <c r="AS156" s="273"/>
      <c r="AT156" s="156"/>
      <c r="AU156" s="157">
        <f t="shared" si="20"/>
        <v>0</v>
      </c>
    </row>
    <row r="157" spans="2:47" hidden="1" x14ac:dyDescent="0.25">
      <c r="B157" s="83"/>
      <c r="C157" s="82"/>
      <c r="D157" s="82"/>
      <c r="E157" s="82"/>
      <c r="F157" s="84" t="s">
        <v>37</v>
      </c>
      <c r="G157" s="325" t="s">
        <v>46</v>
      </c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V157" s="331"/>
      <c r="W157" s="331"/>
      <c r="X157" s="331"/>
      <c r="Y157" s="331"/>
      <c r="Z157" s="331"/>
      <c r="AA157" s="331"/>
      <c r="AB157" s="331"/>
      <c r="AC157" s="331"/>
      <c r="AD157" s="324"/>
      <c r="AE157" s="34">
        <f>SUM(AE158:AE160)</f>
        <v>19350000</v>
      </c>
      <c r="AF157" s="127">
        <f>(AE157/AE$13)*100</f>
        <v>0.14664651533870449</v>
      </c>
      <c r="AG157" s="127"/>
      <c r="AH157" s="196"/>
      <c r="AI157" s="189"/>
      <c r="AJ157" s="188"/>
      <c r="AK157" s="188"/>
      <c r="AL157" s="189"/>
      <c r="AM157" s="188"/>
      <c r="AN157" s="188"/>
      <c r="AO157" s="183"/>
      <c r="AP157" s="183"/>
      <c r="AQ157" s="183"/>
      <c r="AR157" s="183"/>
      <c r="AS157" s="273"/>
      <c r="AT157" s="156"/>
      <c r="AU157" s="157">
        <f t="shared" si="20"/>
        <v>0</v>
      </c>
    </row>
    <row r="158" spans="2:47" hidden="1" x14ac:dyDescent="0.25">
      <c r="B158" s="83"/>
      <c r="C158" s="82"/>
      <c r="D158" s="82"/>
      <c r="E158" s="82"/>
      <c r="F158" s="82"/>
      <c r="G158" s="124" t="s">
        <v>251</v>
      </c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  <c r="U158" s="331"/>
      <c r="V158" s="331"/>
      <c r="W158" s="331"/>
      <c r="X158" s="331"/>
      <c r="Y158" s="331"/>
      <c r="Z158" s="331"/>
      <c r="AA158" s="331"/>
      <c r="AB158" s="331"/>
      <c r="AC158" s="331"/>
      <c r="AD158" s="324"/>
      <c r="AE158" s="74">
        <v>12000000</v>
      </c>
      <c r="AF158" s="127">
        <f>(AE158/AE$13)*100</f>
        <v>9.0943575403847732E-2</v>
      </c>
      <c r="AG158" s="127"/>
      <c r="AH158" s="196">
        <f>+AE158/12</f>
        <v>1000000</v>
      </c>
      <c r="AI158" s="189">
        <f>+AH158</f>
        <v>1000000</v>
      </c>
      <c r="AJ158" s="189">
        <f t="shared" ref="AJ158:AS160" si="21">+AI158</f>
        <v>1000000</v>
      </c>
      <c r="AK158" s="189">
        <f t="shared" si="21"/>
        <v>1000000</v>
      </c>
      <c r="AL158" s="189">
        <f t="shared" si="21"/>
        <v>1000000</v>
      </c>
      <c r="AM158" s="189">
        <f t="shared" si="21"/>
        <v>1000000</v>
      </c>
      <c r="AN158" s="189">
        <f t="shared" si="21"/>
        <v>1000000</v>
      </c>
      <c r="AO158" s="189">
        <f t="shared" si="21"/>
        <v>1000000</v>
      </c>
      <c r="AP158" s="189">
        <f t="shared" si="21"/>
        <v>1000000</v>
      </c>
      <c r="AQ158" s="189">
        <f t="shared" si="21"/>
        <v>1000000</v>
      </c>
      <c r="AR158" s="189">
        <f t="shared" si="21"/>
        <v>1000000</v>
      </c>
      <c r="AS158" s="282">
        <f t="shared" si="21"/>
        <v>1000000</v>
      </c>
      <c r="AT158" s="156"/>
      <c r="AU158" s="157">
        <f t="shared" si="20"/>
        <v>12000000</v>
      </c>
    </row>
    <row r="159" spans="2:47" hidden="1" x14ac:dyDescent="0.25">
      <c r="B159" s="83"/>
      <c r="C159" s="82"/>
      <c r="D159" s="82"/>
      <c r="E159" s="82"/>
      <c r="F159" s="82"/>
      <c r="G159" s="124" t="s">
        <v>252</v>
      </c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  <c r="U159" s="331"/>
      <c r="V159" s="331"/>
      <c r="W159" s="331"/>
      <c r="X159" s="331"/>
      <c r="Y159" s="331"/>
      <c r="Z159" s="331"/>
      <c r="AA159" s="331"/>
      <c r="AB159" s="331"/>
      <c r="AC159" s="331"/>
      <c r="AD159" s="324"/>
      <c r="AE159" s="74">
        <v>1350000</v>
      </c>
      <c r="AF159" s="127">
        <f>(AE159/AE$13)*100</f>
        <v>1.0231152232932871E-2</v>
      </c>
      <c r="AG159" s="127"/>
      <c r="AH159" s="196"/>
      <c r="AI159" s="189"/>
      <c r="AJ159" s="188"/>
      <c r="AK159" s="188">
        <f>+AE159/6</f>
        <v>225000</v>
      </c>
      <c r="AL159" s="189">
        <f>+AK159</f>
        <v>225000</v>
      </c>
      <c r="AM159" s="189">
        <f t="shared" si="21"/>
        <v>225000</v>
      </c>
      <c r="AN159" s="189">
        <f t="shared" si="21"/>
        <v>225000</v>
      </c>
      <c r="AO159" s="189">
        <f t="shared" si="21"/>
        <v>225000</v>
      </c>
      <c r="AP159" s="189">
        <f t="shared" si="21"/>
        <v>225000</v>
      </c>
      <c r="AQ159" s="183"/>
      <c r="AR159" s="183"/>
      <c r="AS159" s="273"/>
      <c r="AT159" s="156"/>
      <c r="AU159" s="157">
        <f t="shared" si="20"/>
        <v>1350000</v>
      </c>
    </row>
    <row r="160" spans="2:47" hidden="1" x14ac:dyDescent="0.25">
      <c r="B160" s="83"/>
      <c r="C160" s="82"/>
      <c r="D160" s="82"/>
      <c r="E160" s="82"/>
      <c r="F160" s="82"/>
      <c r="G160" s="124" t="s">
        <v>253</v>
      </c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  <c r="AA160" s="331"/>
      <c r="AB160" s="331"/>
      <c r="AC160" s="331"/>
      <c r="AD160" s="324"/>
      <c r="AE160" s="74">
        <v>6000000</v>
      </c>
      <c r="AF160" s="127">
        <f>(AE160/AE$13)*100</f>
        <v>4.5471787701923866E-2</v>
      </c>
      <c r="AG160" s="127"/>
      <c r="AH160" s="196"/>
      <c r="AI160" s="189"/>
      <c r="AJ160" s="188"/>
      <c r="AK160" s="188">
        <f>+AE160/6</f>
        <v>1000000</v>
      </c>
      <c r="AL160" s="189">
        <f>+AK160</f>
        <v>1000000</v>
      </c>
      <c r="AM160" s="189">
        <f t="shared" si="21"/>
        <v>1000000</v>
      </c>
      <c r="AN160" s="189">
        <f t="shared" si="21"/>
        <v>1000000</v>
      </c>
      <c r="AO160" s="189">
        <f t="shared" si="21"/>
        <v>1000000</v>
      </c>
      <c r="AP160" s="189">
        <f t="shared" si="21"/>
        <v>1000000</v>
      </c>
      <c r="AQ160" s="183"/>
      <c r="AR160" s="183"/>
      <c r="AS160" s="273"/>
      <c r="AT160" s="156"/>
      <c r="AU160" s="157">
        <f t="shared" si="20"/>
        <v>6000000</v>
      </c>
    </row>
    <row r="161" spans="2:47" hidden="1" x14ac:dyDescent="0.25">
      <c r="B161" s="83"/>
      <c r="C161" s="82"/>
      <c r="D161" s="82"/>
      <c r="E161" s="82"/>
      <c r="F161" s="82"/>
      <c r="G161" s="124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  <c r="U161" s="331"/>
      <c r="V161" s="331"/>
      <c r="W161" s="331"/>
      <c r="X161" s="331"/>
      <c r="Y161" s="331"/>
      <c r="Z161" s="331"/>
      <c r="AA161" s="331"/>
      <c r="AB161" s="331"/>
      <c r="AC161" s="331"/>
      <c r="AD161" s="324"/>
      <c r="AE161" s="74"/>
      <c r="AF161" s="127"/>
      <c r="AG161" s="127"/>
      <c r="AH161" s="196"/>
      <c r="AI161" s="189"/>
      <c r="AJ161" s="188"/>
      <c r="AK161" s="188"/>
      <c r="AL161" s="189"/>
      <c r="AM161" s="188"/>
      <c r="AN161" s="188"/>
      <c r="AO161" s="183"/>
      <c r="AP161" s="183"/>
      <c r="AQ161" s="183"/>
      <c r="AR161" s="183"/>
      <c r="AS161" s="273"/>
      <c r="AT161" s="156"/>
      <c r="AU161" s="157">
        <f t="shared" si="20"/>
        <v>0</v>
      </c>
    </row>
    <row r="162" spans="2:47" hidden="1" x14ac:dyDescent="0.25">
      <c r="B162" s="83"/>
      <c r="C162" s="82"/>
      <c r="D162" s="82"/>
      <c r="E162" s="82"/>
      <c r="F162" s="84" t="s">
        <v>37</v>
      </c>
      <c r="G162" s="325" t="s">
        <v>254</v>
      </c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  <c r="U162" s="331"/>
      <c r="V162" s="331"/>
      <c r="W162" s="331"/>
      <c r="X162" s="331"/>
      <c r="Y162" s="331"/>
      <c r="Z162" s="331"/>
      <c r="AA162" s="331"/>
      <c r="AB162" s="331"/>
      <c r="AC162" s="331"/>
      <c r="AD162" s="324"/>
      <c r="AE162" s="34">
        <f>SUM(AE163:AE164)</f>
        <v>1200000</v>
      </c>
      <c r="AF162" s="127">
        <f>(AE162/AE$13)*100</f>
        <v>9.0943575403847742E-3</v>
      </c>
      <c r="AG162" s="127"/>
      <c r="AH162" s="196"/>
      <c r="AI162" s="189"/>
      <c r="AJ162" s="188"/>
      <c r="AK162" s="188"/>
      <c r="AL162" s="189"/>
      <c r="AM162" s="188"/>
      <c r="AN162" s="188"/>
      <c r="AO162" s="183"/>
      <c r="AP162" s="183"/>
      <c r="AQ162" s="183"/>
      <c r="AR162" s="183"/>
      <c r="AS162" s="273"/>
      <c r="AT162" s="156"/>
      <c r="AU162" s="157">
        <f t="shared" si="20"/>
        <v>0</v>
      </c>
    </row>
    <row r="163" spans="2:47" hidden="1" x14ac:dyDescent="0.25">
      <c r="B163" s="83"/>
      <c r="C163" s="82"/>
      <c r="D163" s="82"/>
      <c r="E163" s="82"/>
      <c r="F163" s="84"/>
      <c r="G163" s="124" t="s">
        <v>256</v>
      </c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331"/>
      <c r="X163" s="331"/>
      <c r="Y163" s="310" t="s">
        <v>264</v>
      </c>
      <c r="Z163" s="309"/>
      <c r="AA163" s="309"/>
      <c r="AB163" s="309"/>
      <c r="AC163" s="309"/>
      <c r="AD163" s="324"/>
      <c r="AE163" s="74">
        <v>0</v>
      </c>
      <c r="AF163" s="127">
        <f>(AE163/AE$13)*100</f>
        <v>0</v>
      </c>
      <c r="AG163" s="127"/>
      <c r="AH163" s="196"/>
      <c r="AI163" s="189"/>
      <c r="AJ163" s="188"/>
      <c r="AK163" s="188"/>
      <c r="AL163" s="189"/>
      <c r="AM163" s="188"/>
      <c r="AN163" s="188"/>
      <c r="AO163" s="183"/>
      <c r="AP163" s="183"/>
      <c r="AQ163" s="183"/>
      <c r="AR163" s="183"/>
      <c r="AS163" s="273"/>
      <c r="AT163" s="156"/>
      <c r="AU163" s="157">
        <f t="shared" si="20"/>
        <v>0</v>
      </c>
    </row>
    <row r="164" spans="2:47" hidden="1" x14ac:dyDescent="0.25">
      <c r="B164" s="83"/>
      <c r="C164" s="82"/>
      <c r="D164" s="82"/>
      <c r="E164" s="82"/>
      <c r="F164" s="82"/>
      <c r="G164" s="124" t="s">
        <v>255</v>
      </c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1"/>
      <c r="W164" s="331"/>
      <c r="X164" s="331"/>
      <c r="Y164" s="331"/>
      <c r="Z164" s="331"/>
      <c r="AA164" s="331"/>
      <c r="AB164" s="331"/>
      <c r="AC164" s="331"/>
      <c r="AD164" s="324"/>
      <c r="AE164" s="74">
        <v>1200000</v>
      </c>
      <c r="AF164" s="127">
        <f>(AE164/AE$13)*100</f>
        <v>9.0943575403847742E-3</v>
      </c>
      <c r="AG164" s="127"/>
      <c r="AH164" s="196"/>
      <c r="AI164" s="189"/>
      <c r="AJ164" s="188"/>
      <c r="AK164" s="188"/>
      <c r="AL164" s="189"/>
      <c r="AM164" s="188"/>
      <c r="AN164" s="188">
        <f>+AE164</f>
        <v>1200000</v>
      </c>
      <c r="AO164" s="183"/>
      <c r="AP164" s="183"/>
      <c r="AQ164" s="183"/>
      <c r="AR164" s="183"/>
      <c r="AS164" s="273"/>
      <c r="AT164" s="156"/>
      <c r="AU164" s="157">
        <f t="shared" si="20"/>
        <v>1200000</v>
      </c>
    </row>
    <row r="165" spans="2:47" hidden="1" x14ac:dyDescent="0.25">
      <c r="B165" s="83"/>
      <c r="C165" s="82"/>
      <c r="D165" s="82"/>
      <c r="E165" s="82"/>
      <c r="F165" s="82"/>
      <c r="G165" s="124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1"/>
      <c r="T165" s="331"/>
      <c r="U165" s="331"/>
      <c r="V165" s="331"/>
      <c r="W165" s="331"/>
      <c r="X165" s="331"/>
      <c r="Y165" s="331"/>
      <c r="Z165" s="331"/>
      <c r="AA165" s="331"/>
      <c r="AB165" s="331"/>
      <c r="AC165" s="331"/>
      <c r="AD165" s="324"/>
      <c r="AE165" s="74"/>
      <c r="AF165" s="127"/>
      <c r="AG165" s="127"/>
      <c r="AH165" s="196"/>
      <c r="AI165" s="189"/>
      <c r="AJ165" s="188"/>
      <c r="AK165" s="188"/>
      <c r="AL165" s="189"/>
      <c r="AM165" s="188"/>
      <c r="AN165" s="188"/>
      <c r="AO165" s="183"/>
      <c r="AP165" s="183"/>
      <c r="AQ165" s="183"/>
      <c r="AR165" s="183"/>
      <c r="AS165" s="273"/>
      <c r="AT165" s="156"/>
      <c r="AU165" s="157">
        <f t="shared" si="20"/>
        <v>0</v>
      </c>
    </row>
    <row r="166" spans="2:47" hidden="1" x14ac:dyDescent="0.25">
      <c r="B166" s="83"/>
      <c r="C166" s="82"/>
      <c r="D166" s="82"/>
      <c r="E166" s="82"/>
      <c r="F166" s="84" t="s">
        <v>37</v>
      </c>
      <c r="G166" s="325" t="s">
        <v>257</v>
      </c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  <c r="U166" s="331"/>
      <c r="V166" s="331"/>
      <c r="W166" s="331"/>
      <c r="X166" s="331"/>
      <c r="Y166" s="331"/>
      <c r="Z166" s="331"/>
      <c r="AA166" s="331"/>
      <c r="AB166" s="331"/>
      <c r="AC166" s="331"/>
      <c r="AD166" s="324"/>
      <c r="AE166" s="34">
        <f>+AE167</f>
        <v>3240000</v>
      </c>
      <c r="AF166" s="127">
        <f t="shared" ref="AF166:AF171" si="22">(AE166/AE$13)*100</f>
        <v>2.4554765359038888E-2</v>
      </c>
      <c r="AG166" s="127"/>
      <c r="AH166" s="196"/>
      <c r="AI166" s="189"/>
      <c r="AJ166" s="188"/>
      <c r="AK166" s="188"/>
      <c r="AL166" s="189"/>
      <c r="AM166" s="188"/>
      <c r="AN166" s="188"/>
      <c r="AO166" s="183"/>
      <c r="AP166" s="183"/>
      <c r="AQ166" s="183"/>
      <c r="AR166" s="183"/>
      <c r="AS166" s="273"/>
      <c r="AT166" s="156"/>
      <c r="AU166" s="157">
        <f t="shared" si="20"/>
        <v>0</v>
      </c>
    </row>
    <row r="167" spans="2:47" hidden="1" x14ac:dyDescent="0.25">
      <c r="B167" s="83"/>
      <c r="C167" s="82"/>
      <c r="D167" s="82"/>
      <c r="E167" s="82"/>
      <c r="F167" s="82"/>
      <c r="G167" s="124" t="s">
        <v>259</v>
      </c>
      <c r="H167" s="323"/>
      <c r="I167" s="323"/>
      <c r="J167" s="323"/>
      <c r="K167" s="323"/>
      <c r="L167" s="323"/>
      <c r="M167" s="323"/>
      <c r="N167" s="323"/>
      <c r="O167" s="323"/>
      <c r="P167" s="323"/>
      <c r="Q167" s="323"/>
      <c r="R167" s="323"/>
      <c r="S167" s="323"/>
      <c r="T167" s="323"/>
      <c r="U167" s="323"/>
      <c r="V167" s="323"/>
      <c r="W167" s="323"/>
      <c r="X167" s="323"/>
      <c r="Y167" s="323"/>
      <c r="Z167" s="323"/>
      <c r="AA167" s="323"/>
      <c r="AB167" s="323"/>
      <c r="AC167" s="323"/>
      <c r="AD167" s="324"/>
      <c r="AE167" s="74">
        <f>3240000</f>
        <v>3240000</v>
      </c>
      <c r="AF167" s="127">
        <f t="shared" si="22"/>
        <v>2.4554765359038888E-2</v>
      </c>
      <c r="AG167" s="127"/>
      <c r="AH167" s="196"/>
      <c r="AI167" s="189"/>
      <c r="AJ167" s="188"/>
      <c r="AK167" s="188"/>
      <c r="AL167" s="189">
        <f>+AE167</f>
        <v>3240000</v>
      </c>
      <c r="AM167" s="188"/>
      <c r="AN167" s="188"/>
      <c r="AO167" s="183"/>
      <c r="AP167" s="183"/>
      <c r="AQ167" s="183"/>
      <c r="AR167" s="183"/>
      <c r="AS167" s="273"/>
      <c r="AT167" s="156"/>
      <c r="AU167" s="157">
        <f t="shared" si="20"/>
        <v>3240000</v>
      </c>
    </row>
    <row r="168" spans="2:47" hidden="1" x14ac:dyDescent="0.25">
      <c r="B168" s="83"/>
      <c r="C168" s="82"/>
      <c r="D168" s="82"/>
      <c r="E168" s="82"/>
      <c r="F168" s="84" t="s">
        <v>37</v>
      </c>
      <c r="G168" s="325" t="s">
        <v>260</v>
      </c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  <c r="U168" s="331"/>
      <c r="V168" s="331"/>
      <c r="W168" s="331"/>
      <c r="X168" s="331"/>
      <c r="Y168" s="331"/>
      <c r="Z168" s="331"/>
      <c r="AA168" s="331"/>
      <c r="AB168" s="331"/>
      <c r="AC168" s="331"/>
      <c r="AD168" s="324"/>
      <c r="AE168" s="34">
        <f>+AE169</f>
        <v>4050000</v>
      </c>
      <c r="AF168" s="127">
        <f t="shared" si="22"/>
        <v>3.069345669879861E-2</v>
      </c>
      <c r="AG168" s="127"/>
      <c r="AH168" s="196"/>
      <c r="AI168" s="189"/>
      <c r="AJ168" s="188"/>
      <c r="AK168" s="188"/>
      <c r="AL168" s="189"/>
      <c r="AM168" s="188"/>
      <c r="AN168" s="188"/>
      <c r="AO168" s="183"/>
      <c r="AP168" s="183"/>
      <c r="AQ168" s="183"/>
      <c r="AR168" s="183"/>
      <c r="AS168" s="273"/>
      <c r="AT168" s="156"/>
      <c r="AU168" s="157">
        <f>SUM(AH168:AS168)</f>
        <v>0</v>
      </c>
    </row>
    <row r="169" spans="2:47" hidden="1" x14ac:dyDescent="0.25">
      <c r="B169" s="83"/>
      <c r="C169" s="82"/>
      <c r="D169" s="82"/>
      <c r="E169" s="82"/>
      <c r="F169" s="82"/>
      <c r="G169" s="124" t="s">
        <v>258</v>
      </c>
      <c r="H169" s="323"/>
      <c r="I169" s="323"/>
      <c r="J169" s="323"/>
      <c r="K169" s="323"/>
      <c r="L169" s="323"/>
      <c r="M169" s="323"/>
      <c r="N169" s="323"/>
      <c r="O169" s="323"/>
      <c r="P169" s="323"/>
      <c r="Q169" s="323"/>
      <c r="R169" s="323"/>
      <c r="S169" s="323"/>
      <c r="T169" s="323"/>
      <c r="U169" s="323"/>
      <c r="V169" s="323"/>
      <c r="W169" s="323"/>
      <c r="X169" s="323"/>
      <c r="Y169" s="323"/>
      <c r="Z169" s="323"/>
      <c r="AA169" s="323"/>
      <c r="AB169" s="323"/>
      <c r="AC169" s="323"/>
      <c r="AD169" s="324"/>
      <c r="AE169" s="74">
        <v>4050000</v>
      </c>
      <c r="AF169" s="127">
        <f t="shared" si="22"/>
        <v>3.069345669879861E-2</v>
      </c>
      <c r="AG169" s="127"/>
      <c r="AH169" s="196"/>
      <c r="AI169" s="189"/>
      <c r="AJ169" s="188"/>
      <c r="AK169" s="188"/>
      <c r="AL169" s="189"/>
      <c r="AM169" s="188"/>
      <c r="AN169" s="188"/>
      <c r="AO169" s="183"/>
      <c r="AP169" s="183">
        <f>+AE169</f>
        <v>4050000</v>
      </c>
      <c r="AQ169" s="183"/>
      <c r="AR169" s="183"/>
      <c r="AS169" s="273"/>
      <c r="AT169" s="156"/>
      <c r="AU169" s="157">
        <f>SUM(AH169:AS169)</f>
        <v>4050000</v>
      </c>
    </row>
    <row r="170" spans="2:47" hidden="1" x14ac:dyDescent="0.25">
      <c r="B170" s="83"/>
      <c r="C170" s="82"/>
      <c r="D170" s="82"/>
      <c r="E170" s="82"/>
      <c r="F170" s="82"/>
      <c r="G170" s="325" t="s">
        <v>261</v>
      </c>
      <c r="H170" s="323"/>
      <c r="I170" s="323"/>
      <c r="J170" s="323"/>
      <c r="K170" s="323"/>
      <c r="L170" s="323"/>
      <c r="M170" s="323"/>
      <c r="N170" s="323"/>
      <c r="O170" s="323"/>
      <c r="P170" s="323"/>
      <c r="Q170" s="323"/>
      <c r="R170" s="323"/>
      <c r="S170" s="323"/>
      <c r="T170" s="323"/>
      <c r="U170" s="323"/>
      <c r="V170" s="323"/>
      <c r="W170" s="323"/>
      <c r="X170" s="323"/>
      <c r="Y170" s="323"/>
      <c r="Z170" s="323"/>
      <c r="AA170" s="323"/>
      <c r="AB170" s="323"/>
      <c r="AC170" s="323"/>
      <c r="AD170" s="324"/>
      <c r="AE170" s="34">
        <f>+AE171</f>
        <v>350000</v>
      </c>
      <c r="AF170" s="127">
        <f t="shared" si="22"/>
        <v>2.6525209492788923E-3</v>
      </c>
      <c r="AG170" s="127"/>
      <c r="AH170" s="196"/>
      <c r="AI170" s="189"/>
      <c r="AJ170" s="188"/>
      <c r="AK170" s="188"/>
      <c r="AL170" s="189"/>
      <c r="AM170" s="188"/>
      <c r="AN170" s="188"/>
      <c r="AO170" s="183"/>
      <c r="AP170" s="183"/>
      <c r="AQ170" s="183"/>
      <c r="AR170" s="183"/>
      <c r="AS170" s="273"/>
      <c r="AT170" s="156"/>
      <c r="AU170" s="157">
        <f t="shared" si="20"/>
        <v>0</v>
      </c>
    </row>
    <row r="171" spans="2:47" hidden="1" x14ac:dyDescent="0.25">
      <c r="B171" s="83"/>
      <c r="C171" s="82"/>
      <c r="D171" s="82"/>
      <c r="E171" s="84"/>
      <c r="F171" s="82"/>
      <c r="G171" s="124" t="s">
        <v>262</v>
      </c>
      <c r="H171" s="323"/>
      <c r="I171" s="323"/>
      <c r="J171" s="323"/>
      <c r="K171" s="323"/>
      <c r="L171" s="323"/>
      <c r="M171" s="323"/>
      <c r="N171" s="75"/>
      <c r="O171" s="134" t="s">
        <v>263</v>
      </c>
      <c r="P171" s="134"/>
      <c r="Q171" s="134"/>
      <c r="R171" s="134"/>
      <c r="S171" s="134"/>
      <c r="T171" s="134"/>
      <c r="U171" s="75"/>
      <c r="V171" s="75"/>
      <c r="W171" s="75"/>
      <c r="X171" s="75"/>
      <c r="Y171" s="75"/>
      <c r="Z171" s="75"/>
      <c r="AA171" s="75"/>
      <c r="AB171" s="75"/>
      <c r="AC171" s="75"/>
      <c r="AD171" s="86"/>
      <c r="AE171" s="74">
        <v>350000</v>
      </c>
      <c r="AF171" s="127">
        <f t="shared" si="22"/>
        <v>2.6525209492788923E-3</v>
      </c>
      <c r="AG171" s="127"/>
      <c r="AH171" s="196"/>
      <c r="AI171" s="189"/>
      <c r="AJ171" s="188"/>
      <c r="AK171" s="188"/>
      <c r="AL171" s="189"/>
      <c r="AM171" s="188">
        <f>+AE171</f>
        <v>350000</v>
      </c>
      <c r="AN171" s="188"/>
      <c r="AO171" s="183"/>
      <c r="AP171" s="183"/>
      <c r="AQ171" s="183"/>
      <c r="AR171" s="183"/>
      <c r="AS171" s="273"/>
      <c r="AT171" s="156"/>
      <c r="AU171" s="157">
        <f t="shared" si="20"/>
        <v>350000</v>
      </c>
    </row>
    <row r="172" spans="2:47" hidden="1" x14ac:dyDescent="0.25">
      <c r="B172" s="83"/>
      <c r="C172" s="82"/>
      <c r="D172" s="82"/>
      <c r="E172" s="84"/>
      <c r="F172" s="82"/>
      <c r="G172" s="124"/>
      <c r="H172" s="323"/>
      <c r="I172" s="323"/>
      <c r="J172" s="323"/>
      <c r="K172" s="323"/>
      <c r="L172" s="323"/>
      <c r="M172" s="323"/>
      <c r="N172" s="323"/>
      <c r="O172" s="323"/>
      <c r="P172" s="323"/>
      <c r="Q172" s="323"/>
      <c r="R172" s="323"/>
      <c r="S172" s="323"/>
      <c r="T172" s="323"/>
      <c r="U172" s="323"/>
      <c r="V172" s="323"/>
      <c r="W172" s="323"/>
      <c r="X172" s="323"/>
      <c r="Y172" s="323"/>
      <c r="Z172" s="323"/>
      <c r="AA172" s="323"/>
      <c r="AB172" s="75"/>
      <c r="AC172" s="75"/>
      <c r="AD172" s="86"/>
      <c r="AE172" s="74"/>
      <c r="AF172" s="127"/>
      <c r="AG172" s="127"/>
      <c r="AH172" s="308"/>
      <c r="AI172" s="189"/>
      <c r="AJ172" s="188"/>
      <c r="AK172" s="188"/>
      <c r="AL172" s="189"/>
      <c r="AM172" s="188"/>
      <c r="AN172" s="188"/>
      <c r="AO172" s="183"/>
      <c r="AP172" s="183"/>
      <c r="AQ172" s="183"/>
      <c r="AR172" s="183"/>
      <c r="AS172" s="273"/>
      <c r="AT172" s="156"/>
      <c r="AU172" s="157"/>
    </row>
    <row r="173" spans="2:47" hidden="1" x14ac:dyDescent="0.25">
      <c r="B173" s="83"/>
      <c r="C173" s="82"/>
      <c r="D173" s="82"/>
      <c r="E173" s="84"/>
      <c r="F173" s="84" t="s">
        <v>37</v>
      </c>
      <c r="G173" s="73" t="s">
        <v>38</v>
      </c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86"/>
      <c r="AE173" s="34">
        <v>6707000</v>
      </c>
      <c r="AF173" s="127">
        <f>(AE173/AE$13)*100</f>
        <v>5.0829880019467227E-2</v>
      </c>
      <c r="AG173" s="127"/>
      <c r="AH173" s="189">
        <v>2250000</v>
      </c>
      <c r="AI173" s="189"/>
      <c r="AJ173" s="188"/>
      <c r="AK173" s="189">
        <f>+AH173</f>
        <v>2250000</v>
      </c>
      <c r="AL173" s="188"/>
      <c r="AM173" s="188"/>
      <c r="AN173" s="183"/>
      <c r="AO173" s="183">
        <f>+AE173-AK173-AH173</f>
        <v>2207000</v>
      </c>
      <c r="AQ173" s="183"/>
      <c r="AR173" s="183"/>
      <c r="AS173" s="273"/>
      <c r="AT173" s="156"/>
      <c r="AU173" s="157">
        <f t="shared" si="20"/>
        <v>6707000</v>
      </c>
    </row>
    <row r="174" spans="2:47" hidden="1" x14ac:dyDescent="0.25">
      <c r="B174" s="83"/>
      <c r="C174" s="82"/>
      <c r="D174" s="82"/>
      <c r="E174" s="84"/>
      <c r="F174" s="84"/>
      <c r="G174" s="325"/>
      <c r="H174" s="326"/>
      <c r="I174" s="326"/>
      <c r="J174" s="326"/>
      <c r="K174" s="326"/>
      <c r="L174" s="326"/>
      <c r="M174" s="326"/>
      <c r="N174" s="326"/>
      <c r="O174" s="326"/>
      <c r="P174" s="326"/>
      <c r="Q174" s="326"/>
      <c r="R174" s="326"/>
      <c r="S174" s="326"/>
      <c r="T174" s="326"/>
      <c r="U174" s="326"/>
      <c r="V174" s="326"/>
      <c r="W174" s="326"/>
      <c r="X174" s="326"/>
      <c r="Y174" s="326"/>
      <c r="Z174" s="326"/>
      <c r="AA174" s="326"/>
      <c r="AB174" s="326"/>
      <c r="AC174" s="326"/>
      <c r="AD174" s="327"/>
      <c r="AE174" s="74"/>
      <c r="AF174" s="127"/>
      <c r="AG174" s="127"/>
      <c r="AH174" s="196"/>
      <c r="AI174" s="189"/>
      <c r="AJ174" s="188"/>
      <c r="AK174" s="188"/>
      <c r="AL174" s="189"/>
      <c r="AM174" s="188"/>
      <c r="AN174" s="188"/>
      <c r="AO174" s="183"/>
      <c r="AP174" s="183"/>
      <c r="AQ174" s="183"/>
      <c r="AR174" s="183"/>
      <c r="AS174" s="273"/>
      <c r="AT174" s="156"/>
      <c r="AU174" s="157">
        <f t="shared" si="20"/>
        <v>0</v>
      </c>
    </row>
    <row r="175" spans="2:47" hidden="1" x14ac:dyDescent="0.25">
      <c r="B175" s="83"/>
      <c r="C175" s="82"/>
      <c r="D175" s="82"/>
      <c r="E175" s="82"/>
      <c r="F175" s="84" t="s">
        <v>37</v>
      </c>
      <c r="G175" s="73" t="s">
        <v>130</v>
      </c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86"/>
      <c r="AE175" s="34">
        <v>1500000</v>
      </c>
      <c r="AF175" s="127">
        <f>(AE175/AE$13)*100</f>
        <v>1.1367946925480966E-2</v>
      </c>
      <c r="AG175" s="127"/>
      <c r="AH175" s="196"/>
      <c r="AI175" s="189"/>
      <c r="AJ175" s="188">
        <f>+AE175/3</f>
        <v>500000</v>
      </c>
      <c r="AK175" s="188"/>
      <c r="AL175" s="189"/>
      <c r="AM175" s="188">
        <f>+AJ175</f>
        <v>500000</v>
      </c>
      <c r="AN175" s="188"/>
      <c r="AO175" s="183"/>
      <c r="AP175" s="183">
        <f>+AM175</f>
        <v>500000</v>
      </c>
      <c r="AQ175" s="183"/>
      <c r="AR175" s="183"/>
      <c r="AS175" s="273"/>
      <c r="AT175" s="156"/>
      <c r="AU175" s="157">
        <f t="shared" si="20"/>
        <v>1500000</v>
      </c>
    </row>
    <row r="176" spans="2:47" hidden="1" x14ac:dyDescent="0.25">
      <c r="B176" s="83"/>
      <c r="C176" s="82"/>
      <c r="D176" s="82"/>
      <c r="E176" s="82"/>
      <c r="F176" s="82"/>
      <c r="G176" s="325"/>
      <c r="H176" s="326"/>
      <c r="I176" s="326"/>
      <c r="J176" s="326"/>
      <c r="K176" s="326"/>
      <c r="L176" s="326"/>
      <c r="M176" s="326"/>
      <c r="N176" s="326"/>
      <c r="O176" s="326"/>
      <c r="P176" s="326"/>
      <c r="Q176" s="326"/>
      <c r="R176" s="326"/>
      <c r="S176" s="326"/>
      <c r="T176" s="326"/>
      <c r="U176" s="326"/>
      <c r="V176" s="326"/>
      <c r="W176" s="326"/>
      <c r="X176" s="326"/>
      <c r="Y176" s="326"/>
      <c r="Z176" s="326"/>
      <c r="AA176" s="326"/>
      <c r="AB176" s="326"/>
      <c r="AC176" s="326"/>
      <c r="AD176" s="327"/>
      <c r="AE176" s="74"/>
      <c r="AF176" s="127"/>
      <c r="AG176" s="127"/>
      <c r="AH176" s="196"/>
      <c r="AI176" s="189"/>
      <c r="AJ176" s="188"/>
      <c r="AK176" s="188"/>
      <c r="AL176" s="189"/>
      <c r="AM176" s="188"/>
      <c r="AN176" s="188"/>
      <c r="AO176" s="183"/>
      <c r="AP176" s="183"/>
      <c r="AQ176" s="183"/>
      <c r="AR176" s="183"/>
      <c r="AS176" s="273"/>
      <c r="AT176" s="156"/>
      <c r="AU176" s="157">
        <f t="shared" si="20"/>
        <v>0</v>
      </c>
    </row>
    <row r="177" spans="2:47" hidden="1" x14ac:dyDescent="0.25">
      <c r="B177" s="83"/>
      <c r="C177" s="82"/>
      <c r="D177" s="82"/>
      <c r="E177" s="84"/>
      <c r="F177" s="84" t="s">
        <v>37</v>
      </c>
      <c r="G177" s="73" t="s">
        <v>88</v>
      </c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86"/>
      <c r="AE177" s="34">
        <v>25000000</v>
      </c>
      <c r="AF177" s="127">
        <f>(AE177/AE$13)*100</f>
        <v>0.18946578209134946</v>
      </c>
      <c r="AG177" s="127"/>
      <c r="AH177" s="196"/>
      <c r="AI177" s="189"/>
      <c r="AJ177" s="188">
        <v>8500000</v>
      </c>
      <c r="AK177" s="188"/>
      <c r="AL177" s="189"/>
      <c r="AM177" s="188">
        <f>+AJ177</f>
        <v>8500000</v>
      </c>
      <c r="AN177" s="188"/>
      <c r="AO177" s="183"/>
      <c r="AP177" s="183">
        <f>+AE177-AJ177-AM177</f>
        <v>8000000</v>
      </c>
      <c r="AQ177" s="183"/>
      <c r="AR177" s="183"/>
      <c r="AS177" s="273"/>
      <c r="AT177" s="156"/>
      <c r="AU177" s="157">
        <f t="shared" si="20"/>
        <v>25000000</v>
      </c>
    </row>
    <row r="178" spans="2:47" hidden="1" x14ac:dyDescent="0.25">
      <c r="B178" s="83"/>
      <c r="C178" s="82"/>
      <c r="D178" s="82"/>
      <c r="E178" s="84"/>
      <c r="F178" s="84"/>
      <c r="G178" s="73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19"/>
      <c r="AD178" s="31"/>
      <c r="AE178" s="74"/>
      <c r="AF178" s="129"/>
      <c r="AG178" s="129"/>
      <c r="AH178" s="196"/>
      <c r="AI178" s="189"/>
      <c r="AJ178" s="188"/>
      <c r="AK178" s="188"/>
      <c r="AL178" s="189"/>
      <c r="AM178" s="188"/>
      <c r="AN178" s="188"/>
      <c r="AO178" s="183"/>
      <c r="AP178" s="183"/>
      <c r="AQ178" s="183"/>
      <c r="AR178" s="183"/>
      <c r="AS178" s="273"/>
      <c r="AT178" s="156"/>
      <c r="AU178" s="157">
        <f t="shared" si="20"/>
        <v>0</v>
      </c>
    </row>
    <row r="179" spans="2:47" hidden="1" x14ac:dyDescent="0.25">
      <c r="B179" s="83"/>
      <c r="C179" s="82"/>
      <c r="D179" s="82"/>
      <c r="E179" s="82"/>
      <c r="F179" s="84" t="s">
        <v>37</v>
      </c>
      <c r="G179" s="73" t="s">
        <v>133</v>
      </c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86"/>
      <c r="AE179" s="34">
        <f>+AE180+AE181</f>
        <v>38355000</v>
      </c>
      <c r="AF179" s="127">
        <f>(AE179/AE$13)*100</f>
        <v>0.29067840288454833</v>
      </c>
      <c r="AG179" s="127"/>
      <c r="AH179" s="196"/>
      <c r="AI179" s="189"/>
      <c r="AJ179" s="188"/>
      <c r="AK179" s="188"/>
      <c r="AL179" s="189"/>
      <c r="AM179" s="188"/>
      <c r="AN179" s="188"/>
      <c r="AO179" s="183"/>
      <c r="AP179" s="183"/>
      <c r="AQ179" s="183"/>
      <c r="AR179" s="183"/>
      <c r="AS179" s="273"/>
      <c r="AT179" s="156"/>
      <c r="AU179" s="157">
        <f t="shared" si="20"/>
        <v>0</v>
      </c>
    </row>
    <row r="180" spans="2:47" hidden="1" x14ac:dyDescent="0.25">
      <c r="B180" s="83"/>
      <c r="C180" s="82"/>
      <c r="D180" s="82"/>
      <c r="E180" s="82"/>
      <c r="F180" s="84"/>
      <c r="G180" s="73" t="s">
        <v>132</v>
      </c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86"/>
      <c r="AE180" s="74">
        <v>38355000</v>
      </c>
      <c r="AF180" s="127">
        <f>(AE180/AE$13)*100</f>
        <v>0.29067840288454833</v>
      </c>
      <c r="AG180" s="127"/>
      <c r="AH180" s="196"/>
      <c r="AI180" s="189">
        <f>+AE180/10</f>
        <v>3835500</v>
      </c>
      <c r="AJ180" s="188">
        <f>+AI180</f>
        <v>3835500</v>
      </c>
      <c r="AK180" s="188">
        <f t="shared" ref="AK180:AR180" si="23">+AJ180</f>
        <v>3835500</v>
      </c>
      <c r="AL180" s="188">
        <f t="shared" si="23"/>
        <v>3835500</v>
      </c>
      <c r="AM180" s="188">
        <f t="shared" si="23"/>
        <v>3835500</v>
      </c>
      <c r="AN180" s="188">
        <f t="shared" si="23"/>
        <v>3835500</v>
      </c>
      <c r="AO180" s="188">
        <f t="shared" si="23"/>
        <v>3835500</v>
      </c>
      <c r="AP180" s="188">
        <f t="shared" si="23"/>
        <v>3835500</v>
      </c>
      <c r="AQ180" s="188">
        <f t="shared" si="23"/>
        <v>3835500</v>
      </c>
      <c r="AR180" s="188">
        <f t="shared" si="23"/>
        <v>3835500</v>
      </c>
      <c r="AS180" s="273"/>
      <c r="AT180" s="156"/>
      <c r="AU180" s="157">
        <f t="shared" si="20"/>
        <v>38355000</v>
      </c>
    </row>
    <row r="181" spans="2:47" hidden="1" x14ac:dyDescent="0.25">
      <c r="B181" s="83"/>
      <c r="C181" s="82"/>
      <c r="D181" s="82"/>
      <c r="E181" s="82"/>
      <c r="F181" s="84"/>
      <c r="G181" s="73" t="s">
        <v>131</v>
      </c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86"/>
      <c r="AE181" s="74">
        <v>0</v>
      </c>
      <c r="AF181" s="127">
        <f>(AE181/AE$13)*100</f>
        <v>0</v>
      </c>
      <c r="AG181" s="127"/>
      <c r="AH181" s="196"/>
      <c r="AI181" s="189"/>
      <c r="AJ181" s="188"/>
      <c r="AK181" s="188"/>
      <c r="AL181" s="189"/>
      <c r="AM181" s="188"/>
      <c r="AN181" s="188"/>
      <c r="AO181" s="183"/>
      <c r="AP181" s="183"/>
      <c r="AQ181" s="183"/>
      <c r="AR181" s="183"/>
      <c r="AS181" s="273"/>
      <c r="AT181" s="156"/>
      <c r="AU181" s="157">
        <f t="shared" si="20"/>
        <v>0</v>
      </c>
    </row>
    <row r="182" spans="2:47" ht="13.8" hidden="1" thickTop="1" x14ac:dyDescent="0.25">
      <c r="B182" s="235"/>
      <c r="C182" s="236"/>
      <c r="D182" s="236"/>
      <c r="E182" s="236"/>
      <c r="F182" s="236"/>
      <c r="G182" s="242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7"/>
      <c r="W182" s="237"/>
      <c r="X182" s="237"/>
      <c r="Y182" s="237"/>
      <c r="Z182" s="237"/>
      <c r="AA182" s="237"/>
      <c r="AB182" s="237"/>
      <c r="AC182" s="238"/>
      <c r="AD182" s="239"/>
      <c r="AE182" s="257">
        <f>SUM(AH182:AS182)</f>
        <v>2824752000</v>
      </c>
      <c r="AF182" s="240"/>
      <c r="AG182" s="240"/>
      <c r="AH182" s="241">
        <f>SUM(AH138:AH181)</f>
        <v>3250000</v>
      </c>
      <c r="AI182" s="241">
        <f t="shared" ref="AI182:AS182" si="24">SUM(AI138:AI181)</f>
        <v>4835500</v>
      </c>
      <c r="AJ182" s="241">
        <f t="shared" si="24"/>
        <v>681335500</v>
      </c>
      <c r="AK182" s="241">
        <f t="shared" si="24"/>
        <v>734560500</v>
      </c>
      <c r="AL182" s="241">
        <f t="shared" si="24"/>
        <v>840550500</v>
      </c>
      <c r="AM182" s="241">
        <f t="shared" si="24"/>
        <v>165410500</v>
      </c>
      <c r="AN182" s="241">
        <f t="shared" si="24"/>
        <v>164760500</v>
      </c>
      <c r="AO182" s="241">
        <f t="shared" si="24"/>
        <v>200767500</v>
      </c>
      <c r="AP182" s="241">
        <f t="shared" si="24"/>
        <v>18610500</v>
      </c>
      <c r="AQ182" s="241">
        <f t="shared" si="24"/>
        <v>4835500</v>
      </c>
      <c r="AR182" s="241">
        <f t="shared" si="24"/>
        <v>4835500</v>
      </c>
      <c r="AS182" s="278">
        <f t="shared" si="24"/>
        <v>1000000</v>
      </c>
      <c r="AT182" s="156"/>
      <c r="AU182" s="157">
        <f t="shared" si="20"/>
        <v>2824752000</v>
      </c>
    </row>
    <row r="183" spans="2:47" ht="13.8" hidden="1" thickBot="1" x14ac:dyDescent="0.3">
      <c r="B183" s="99"/>
      <c r="C183" s="100"/>
      <c r="D183" s="100"/>
      <c r="E183" s="100"/>
      <c r="F183" s="100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62"/>
      <c r="AD183" s="244"/>
      <c r="AE183" s="266" t="s">
        <v>225</v>
      </c>
      <c r="AF183" s="245"/>
      <c r="AG183" s="245"/>
      <c r="AH183" s="978">
        <f>+AH182+AI182+AJ182</f>
        <v>689421000</v>
      </c>
      <c r="AI183" s="979"/>
      <c r="AJ183" s="258"/>
      <c r="AK183" s="1007">
        <f>+AK182+AL182+AM182</f>
        <v>1740521500</v>
      </c>
      <c r="AL183" s="1008"/>
      <c r="AM183" s="259"/>
      <c r="AN183" s="1009">
        <f>+AN182+AO182+AP182</f>
        <v>384138500</v>
      </c>
      <c r="AO183" s="1010"/>
      <c r="AP183" s="260"/>
      <c r="AQ183" s="976">
        <f>+AQ182+AR182+AS182</f>
        <v>10671000</v>
      </c>
      <c r="AR183" s="977"/>
      <c r="AS183" s="283"/>
      <c r="AT183" s="156"/>
      <c r="AU183" s="157">
        <f t="shared" si="20"/>
        <v>2824752000</v>
      </c>
    </row>
    <row r="184" spans="2:47" hidden="1" x14ac:dyDescent="0.25">
      <c r="B184" s="329" t="s">
        <v>217</v>
      </c>
      <c r="C184" s="132"/>
      <c r="D184" s="132"/>
      <c r="E184" s="132"/>
      <c r="F184" s="132"/>
      <c r="G184" s="133"/>
      <c r="H184" s="134"/>
      <c r="I184" s="134" t="s">
        <v>218</v>
      </c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5"/>
      <c r="AD184" s="136"/>
      <c r="AE184" s="103">
        <f>+AE186</f>
        <v>446881650</v>
      </c>
      <c r="AF184" s="150">
        <f>(AE184/AE$13)*100</f>
        <v>3.3867512527809076</v>
      </c>
      <c r="AG184" s="150"/>
      <c r="AH184" s="198"/>
      <c r="AI184" s="200"/>
      <c r="AJ184" s="199"/>
      <c r="AK184" s="199"/>
      <c r="AL184" s="200"/>
      <c r="AM184" s="199"/>
      <c r="AN184" s="199"/>
      <c r="AO184" s="201"/>
      <c r="AP184" s="201"/>
      <c r="AQ184" s="201"/>
      <c r="AR184" s="201"/>
      <c r="AS184" s="284"/>
      <c r="AT184" s="212"/>
      <c r="AU184" s="157">
        <f t="shared" si="20"/>
        <v>0</v>
      </c>
    </row>
    <row r="185" spans="2:47" hidden="1" x14ac:dyDescent="0.25">
      <c r="B185" s="328"/>
      <c r="C185" s="82"/>
      <c r="D185" s="82"/>
      <c r="E185" s="82"/>
      <c r="F185" s="82"/>
      <c r="G185" s="73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19"/>
      <c r="AD185" s="31"/>
      <c r="AE185" s="34"/>
      <c r="AF185" s="129"/>
      <c r="AG185" s="129"/>
      <c r="AH185" s="196"/>
      <c r="AI185" s="189"/>
      <c r="AJ185" s="188"/>
      <c r="AK185" s="188"/>
      <c r="AL185" s="189"/>
      <c r="AM185" s="188"/>
      <c r="AN185" s="188"/>
      <c r="AO185" s="183"/>
      <c r="AP185" s="183"/>
      <c r="AQ185" s="183"/>
      <c r="AR185" s="183"/>
      <c r="AS185" s="273"/>
      <c r="AT185" s="156"/>
      <c r="AU185" s="157">
        <f t="shared" si="20"/>
        <v>0</v>
      </c>
    </row>
    <row r="186" spans="2:47" hidden="1" x14ac:dyDescent="0.25">
      <c r="B186" s="328">
        <v>5</v>
      </c>
      <c r="C186" s="64">
        <v>2</v>
      </c>
      <c r="D186" s="65"/>
      <c r="E186" s="66"/>
      <c r="F186" s="66"/>
      <c r="G186" s="73" t="s">
        <v>120</v>
      </c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86"/>
      <c r="AE186" s="74">
        <f>+AE187+AE195</f>
        <v>446881650</v>
      </c>
      <c r="AF186" s="127">
        <f>(AE186/AE$13)*100</f>
        <v>3.3867512527809076</v>
      </c>
      <c r="AG186" s="127"/>
      <c r="AH186" s="196"/>
      <c r="AI186" s="189"/>
      <c r="AJ186" s="188"/>
      <c r="AK186" s="188"/>
      <c r="AL186" s="189"/>
      <c r="AM186" s="188"/>
      <c r="AN186" s="188"/>
      <c r="AO186" s="183"/>
      <c r="AP186" s="183"/>
      <c r="AQ186" s="183"/>
      <c r="AR186" s="183"/>
      <c r="AS186" s="273"/>
      <c r="AT186" s="156"/>
      <c r="AU186" s="311">
        <f>2948606000+3210321000+2824752000+446881650+1761728100+2002706000</f>
        <v>13194994750</v>
      </c>
    </row>
    <row r="187" spans="2:47" hidden="1" x14ac:dyDescent="0.25">
      <c r="B187" s="32">
        <v>5</v>
      </c>
      <c r="C187" s="33">
        <v>2</v>
      </c>
      <c r="D187" s="33">
        <v>1</v>
      </c>
      <c r="E187" s="82"/>
      <c r="F187" s="82"/>
      <c r="G187" s="44" t="s">
        <v>58</v>
      </c>
      <c r="H187" s="45"/>
      <c r="I187" s="4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19"/>
      <c r="AD187" s="31"/>
      <c r="AE187" s="34">
        <f>+AE188</f>
        <v>8928000</v>
      </c>
      <c r="AF187" s="129">
        <f>(AE187/AE$13)*100</f>
        <v>6.7662020100462711E-2</v>
      </c>
      <c r="AG187" s="129"/>
      <c r="AH187" s="196"/>
      <c r="AI187" s="189"/>
      <c r="AJ187" s="188"/>
      <c r="AK187" s="188"/>
      <c r="AL187" s="189"/>
      <c r="AM187" s="188"/>
      <c r="AN187" s="188"/>
      <c r="AO187" s="183"/>
      <c r="AP187" s="183"/>
      <c r="AQ187" s="183"/>
      <c r="AR187" s="183"/>
      <c r="AS187" s="273"/>
      <c r="AT187" s="156"/>
      <c r="AU187" s="157">
        <f t="shared" si="20"/>
        <v>0</v>
      </c>
    </row>
    <row r="188" spans="2:47" hidden="1" x14ac:dyDescent="0.25">
      <c r="B188" s="32">
        <v>5</v>
      </c>
      <c r="C188" s="33">
        <v>2</v>
      </c>
      <c r="D188" s="33">
        <v>1</v>
      </c>
      <c r="E188" s="35" t="s">
        <v>5</v>
      </c>
      <c r="F188" s="82"/>
      <c r="G188" s="44" t="s">
        <v>0</v>
      </c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19"/>
      <c r="AD188" s="31"/>
      <c r="AE188" s="34">
        <f>+AE189+AE192</f>
        <v>8928000</v>
      </c>
      <c r="AF188" s="127">
        <f>(AE188/AE$13)*100</f>
        <v>6.7662020100462711E-2</v>
      </c>
      <c r="AG188" s="127"/>
      <c r="AH188" s="196"/>
      <c r="AI188" s="189"/>
      <c r="AJ188" s="188"/>
      <c r="AK188" s="188"/>
      <c r="AL188" s="189"/>
      <c r="AM188" s="188"/>
      <c r="AN188" s="188"/>
      <c r="AO188" s="183"/>
      <c r="AP188" s="183"/>
      <c r="AQ188" s="183"/>
      <c r="AR188" s="183"/>
      <c r="AS188" s="273"/>
      <c r="AT188" s="156"/>
      <c r="AU188" s="157">
        <f t="shared" si="20"/>
        <v>0</v>
      </c>
    </row>
    <row r="189" spans="2:47" hidden="1" x14ac:dyDescent="0.25">
      <c r="B189" s="83">
        <v>5</v>
      </c>
      <c r="C189" s="82">
        <v>2</v>
      </c>
      <c r="D189" s="82">
        <v>1</v>
      </c>
      <c r="E189" s="84" t="s">
        <v>5</v>
      </c>
      <c r="F189" s="84" t="s">
        <v>5</v>
      </c>
      <c r="G189" s="73" t="s">
        <v>46</v>
      </c>
      <c r="H189" s="75"/>
      <c r="I189" s="7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42"/>
      <c r="AD189" s="43"/>
      <c r="AE189" s="74">
        <f>+AE190</f>
        <v>4878000</v>
      </c>
      <c r="AF189" s="127">
        <f>(AE189/AE$13)*100</f>
        <v>3.6968563401664101E-2</v>
      </c>
      <c r="AG189" s="127"/>
      <c r="AH189" s="196"/>
      <c r="AI189" s="189"/>
      <c r="AJ189" s="188"/>
      <c r="AK189" s="188"/>
      <c r="AL189" s="189"/>
      <c r="AM189" s="188"/>
      <c r="AN189" s="188"/>
      <c r="AO189" s="183"/>
      <c r="AP189" s="183"/>
      <c r="AQ189" s="183"/>
      <c r="AR189" s="183"/>
      <c r="AS189" s="273"/>
      <c r="AT189" s="156"/>
      <c r="AU189" s="157">
        <f t="shared" si="20"/>
        <v>0</v>
      </c>
    </row>
    <row r="190" spans="2:47" hidden="1" x14ac:dyDescent="0.25">
      <c r="B190" s="32"/>
      <c r="C190" s="33"/>
      <c r="D190" s="33"/>
      <c r="E190" s="35"/>
      <c r="F190" s="82"/>
      <c r="G190" s="73" t="s">
        <v>79</v>
      </c>
      <c r="H190" s="45"/>
      <c r="I190" s="45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19"/>
      <c r="AD190" s="31"/>
      <c r="AE190" s="74">
        <v>4878000</v>
      </c>
      <c r="AF190" s="127">
        <f>(AE190/AE$13)*100</f>
        <v>3.6968563401664101E-2</v>
      </c>
      <c r="AG190" s="127"/>
      <c r="AH190" s="196"/>
      <c r="AI190" s="189"/>
      <c r="AJ190" s="188"/>
      <c r="AK190" s="188">
        <f>+AE190</f>
        <v>4878000</v>
      </c>
      <c r="AL190" s="189"/>
      <c r="AM190" s="188"/>
      <c r="AN190" s="188"/>
      <c r="AO190" s="183"/>
      <c r="AP190" s="183"/>
      <c r="AQ190" s="183"/>
      <c r="AR190" s="183"/>
      <c r="AS190" s="273"/>
      <c r="AT190" s="156"/>
      <c r="AU190" s="157">
        <f t="shared" si="20"/>
        <v>4878000</v>
      </c>
    </row>
    <row r="191" spans="2:47" hidden="1" x14ac:dyDescent="0.25">
      <c r="B191" s="32"/>
      <c r="C191" s="33"/>
      <c r="D191" s="33"/>
      <c r="E191" s="35"/>
      <c r="F191" s="82"/>
      <c r="G191" s="44"/>
      <c r="H191" s="45"/>
      <c r="I191" s="45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19"/>
      <c r="AD191" s="31"/>
      <c r="AE191" s="34"/>
      <c r="AF191" s="129"/>
      <c r="AG191" s="129"/>
      <c r="AH191" s="196"/>
      <c r="AI191" s="189"/>
      <c r="AJ191" s="188"/>
      <c r="AK191" s="188"/>
      <c r="AL191" s="189"/>
      <c r="AM191" s="188"/>
      <c r="AN191" s="188"/>
      <c r="AO191" s="183"/>
      <c r="AP191" s="183"/>
      <c r="AQ191" s="183"/>
      <c r="AR191" s="183"/>
      <c r="AS191" s="273"/>
      <c r="AT191" s="156"/>
      <c r="AU191" s="157">
        <f t="shared" si="20"/>
        <v>0</v>
      </c>
    </row>
    <row r="192" spans="2:47" hidden="1" x14ac:dyDescent="0.25">
      <c r="B192" s="83">
        <v>5</v>
      </c>
      <c r="C192" s="82">
        <v>2</v>
      </c>
      <c r="D192" s="82">
        <v>1</v>
      </c>
      <c r="E192" s="84" t="s">
        <v>5</v>
      </c>
      <c r="F192" s="84" t="s">
        <v>52</v>
      </c>
      <c r="G192" s="73" t="s">
        <v>53</v>
      </c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42"/>
      <c r="AD192" s="43"/>
      <c r="AE192" s="34">
        <f>+AE193</f>
        <v>4050000</v>
      </c>
      <c r="AF192" s="127">
        <f>(AE192/AE$13)*100</f>
        <v>3.069345669879861E-2</v>
      </c>
      <c r="AG192" s="127"/>
      <c r="AH192" s="196"/>
      <c r="AI192" s="189"/>
      <c r="AJ192" s="188"/>
      <c r="AK192" s="188"/>
      <c r="AL192" s="189"/>
      <c r="AM192" s="188"/>
      <c r="AN192" s="188"/>
      <c r="AO192" s="183"/>
      <c r="AP192" s="183"/>
      <c r="AQ192" s="183"/>
      <c r="AR192" s="183"/>
      <c r="AS192" s="273"/>
      <c r="AT192" s="156"/>
      <c r="AU192" s="157">
        <f t="shared" si="20"/>
        <v>0</v>
      </c>
    </row>
    <row r="193" spans="2:47" hidden="1" x14ac:dyDescent="0.25">
      <c r="B193" s="32"/>
      <c r="C193" s="33"/>
      <c r="D193" s="33"/>
      <c r="E193" s="35"/>
      <c r="F193" s="82"/>
      <c r="G193" s="73" t="s">
        <v>81</v>
      </c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42"/>
      <c r="AD193" s="43"/>
      <c r="AE193" s="74">
        <v>4050000</v>
      </c>
      <c r="AF193" s="127">
        <f>(AE193/AE$13)*100</f>
        <v>3.069345669879861E-2</v>
      </c>
      <c r="AG193" s="127"/>
      <c r="AH193" s="196"/>
      <c r="AI193" s="189"/>
      <c r="AJ193" s="188"/>
      <c r="AK193" s="188"/>
      <c r="AL193" s="189"/>
      <c r="AM193" s="188">
        <f>+AE193</f>
        <v>4050000</v>
      </c>
      <c r="AN193" s="188"/>
      <c r="AO193" s="183"/>
      <c r="AP193" s="183"/>
      <c r="AQ193" s="183"/>
      <c r="AR193" s="183"/>
      <c r="AS193" s="273"/>
      <c r="AT193" s="156"/>
      <c r="AU193" s="157">
        <f t="shared" si="20"/>
        <v>4050000</v>
      </c>
    </row>
    <row r="194" spans="2:47" hidden="1" x14ac:dyDescent="0.25">
      <c r="B194" s="32"/>
      <c r="C194" s="33"/>
      <c r="D194" s="33"/>
      <c r="E194" s="35"/>
      <c r="F194" s="82"/>
      <c r="G194" s="73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42"/>
      <c r="AD194" s="43"/>
      <c r="AE194" s="74"/>
      <c r="AF194" s="127"/>
      <c r="AG194" s="127"/>
      <c r="AH194" s="196"/>
      <c r="AI194" s="189"/>
      <c r="AJ194" s="188"/>
      <c r="AK194" s="188"/>
      <c r="AL194" s="189"/>
      <c r="AM194" s="188"/>
      <c r="AN194" s="188"/>
      <c r="AO194" s="183"/>
      <c r="AP194" s="183"/>
      <c r="AQ194" s="183"/>
      <c r="AR194" s="183"/>
      <c r="AS194" s="273"/>
      <c r="AT194" s="156"/>
      <c r="AU194" s="157">
        <f t="shared" si="20"/>
        <v>0</v>
      </c>
    </row>
    <row r="195" spans="2:47" hidden="1" x14ac:dyDescent="0.25">
      <c r="B195" s="32">
        <v>5</v>
      </c>
      <c r="C195" s="33">
        <v>2</v>
      </c>
      <c r="D195" s="33">
        <v>2</v>
      </c>
      <c r="E195" s="82"/>
      <c r="F195" s="82"/>
      <c r="G195" s="44" t="s">
        <v>83</v>
      </c>
      <c r="H195" s="45"/>
      <c r="I195" s="4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19"/>
      <c r="AD195" s="31"/>
      <c r="AE195" s="34">
        <f>+AE196+AE200+AE203+AE208</f>
        <v>437953650</v>
      </c>
      <c r="AF195" s="127">
        <f>(AE195/AE$13)*100</f>
        <v>3.3190892326804451</v>
      </c>
      <c r="AG195" s="127"/>
      <c r="AH195" s="196"/>
      <c r="AI195" s="189"/>
      <c r="AJ195" s="188"/>
      <c r="AK195" s="188"/>
      <c r="AL195" s="189"/>
      <c r="AM195" s="188"/>
      <c r="AN195" s="188"/>
      <c r="AO195" s="183"/>
      <c r="AP195" s="183"/>
      <c r="AQ195" s="183"/>
      <c r="AR195" s="183"/>
      <c r="AS195" s="273"/>
      <c r="AT195" s="156"/>
      <c r="AU195" s="157">
        <f t="shared" si="20"/>
        <v>0</v>
      </c>
    </row>
    <row r="196" spans="2:47" hidden="1" x14ac:dyDescent="0.25">
      <c r="B196" s="32">
        <v>5</v>
      </c>
      <c r="C196" s="33">
        <v>2</v>
      </c>
      <c r="D196" s="33">
        <v>2</v>
      </c>
      <c r="E196" s="35" t="s">
        <v>5</v>
      </c>
      <c r="F196" s="82"/>
      <c r="G196" s="44" t="s">
        <v>17</v>
      </c>
      <c r="H196" s="45"/>
      <c r="I196" s="4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19"/>
      <c r="AD196" s="31"/>
      <c r="AE196" s="34">
        <f>AE197</f>
        <v>1953650</v>
      </c>
      <c r="AF196" s="127">
        <f>(AE196/AE$13)*100</f>
        <v>1.4805993007310593E-2</v>
      </c>
      <c r="AG196" s="127"/>
      <c r="AH196" s="196"/>
      <c r="AI196" s="189"/>
      <c r="AJ196" s="188"/>
      <c r="AK196" s="188"/>
      <c r="AL196" s="189"/>
      <c r="AM196" s="188"/>
      <c r="AN196" s="188"/>
      <c r="AO196" s="183"/>
      <c r="AP196" s="183"/>
      <c r="AQ196" s="183"/>
      <c r="AR196" s="183"/>
      <c r="AS196" s="273"/>
      <c r="AT196" s="156"/>
      <c r="AU196" s="157">
        <f t="shared" si="20"/>
        <v>0</v>
      </c>
    </row>
    <row r="197" spans="2:47" hidden="1" x14ac:dyDescent="0.25">
      <c r="B197" s="83">
        <v>5</v>
      </c>
      <c r="C197" s="82">
        <v>2</v>
      </c>
      <c r="D197" s="82">
        <v>2</v>
      </c>
      <c r="E197" s="84" t="s">
        <v>5</v>
      </c>
      <c r="F197" s="84" t="s">
        <v>5</v>
      </c>
      <c r="G197" s="73" t="s">
        <v>18</v>
      </c>
      <c r="H197" s="75"/>
      <c r="I197" s="86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19"/>
      <c r="AD197" s="31"/>
      <c r="AE197" s="74">
        <f>SUM(AE198:AE198)</f>
        <v>1953650</v>
      </c>
      <c r="AF197" s="127">
        <f>(AE197/AE$13)*100</f>
        <v>1.4805993007310593E-2</v>
      </c>
      <c r="AG197" s="127"/>
      <c r="AH197" s="196"/>
      <c r="AI197" s="189"/>
      <c r="AJ197" s="188"/>
      <c r="AK197" s="188"/>
      <c r="AL197" s="189"/>
      <c r="AM197" s="188"/>
      <c r="AN197" s="188"/>
      <c r="AO197" s="183"/>
      <c r="AP197" s="183"/>
      <c r="AQ197" s="183"/>
      <c r="AR197" s="183"/>
      <c r="AS197" s="273"/>
      <c r="AT197" s="156"/>
      <c r="AU197" s="157">
        <f t="shared" si="20"/>
        <v>0</v>
      </c>
    </row>
    <row r="198" spans="2:47" hidden="1" x14ac:dyDescent="0.25">
      <c r="B198" s="83"/>
      <c r="C198" s="87"/>
      <c r="D198" s="82"/>
      <c r="E198" s="84"/>
      <c r="F198" s="84"/>
      <c r="G198" s="122" t="s">
        <v>37</v>
      </c>
      <c r="H198" s="75" t="s">
        <v>149</v>
      </c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19"/>
      <c r="AD198" s="31"/>
      <c r="AE198" s="74">
        <v>1953650</v>
      </c>
      <c r="AF198" s="127">
        <f>(AE198/AE$13)*100</f>
        <v>1.4805993007310593E-2</v>
      </c>
      <c r="AG198" s="127"/>
      <c r="AH198" s="196"/>
      <c r="AI198" s="189">
        <f>+AE198/2</f>
        <v>976825</v>
      </c>
      <c r="AJ198" s="188"/>
      <c r="AK198" s="188"/>
      <c r="AL198" s="189"/>
      <c r="AM198" s="188"/>
      <c r="AN198" s="188">
        <f>+AI198</f>
        <v>976825</v>
      </c>
      <c r="AO198" s="183"/>
      <c r="AP198" s="183"/>
      <c r="AQ198" s="183"/>
      <c r="AR198" s="183"/>
      <c r="AS198" s="273"/>
      <c r="AT198" s="156"/>
      <c r="AU198" s="157">
        <f t="shared" si="20"/>
        <v>1953650</v>
      </c>
    </row>
    <row r="199" spans="2:47" hidden="1" x14ac:dyDescent="0.25">
      <c r="B199" s="83"/>
      <c r="C199" s="87"/>
      <c r="D199" s="82"/>
      <c r="E199" s="84"/>
      <c r="F199" s="84"/>
      <c r="G199" s="73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19"/>
      <c r="AD199" s="31"/>
      <c r="AE199" s="74"/>
      <c r="AF199" s="129"/>
      <c r="AG199" s="129"/>
      <c r="AH199" s="196"/>
      <c r="AI199" s="189"/>
      <c r="AJ199" s="188"/>
      <c r="AK199" s="188"/>
      <c r="AL199" s="189"/>
      <c r="AM199" s="188"/>
      <c r="AN199" s="188"/>
      <c r="AO199" s="183"/>
      <c r="AP199" s="183"/>
      <c r="AQ199" s="183"/>
      <c r="AR199" s="183"/>
      <c r="AS199" s="273"/>
      <c r="AT199" s="156"/>
      <c r="AU199" s="157">
        <f t="shared" si="20"/>
        <v>0</v>
      </c>
    </row>
    <row r="200" spans="2:47" hidden="1" x14ac:dyDescent="0.25">
      <c r="B200" s="32">
        <v>5</v>
      </c>
      <c r="C200" s="36">
        <v>2</v>
      </c>
      <c r="D200" s="33">
        <v>2</v>
      </c>
      <c r="E200" s="35" t="s">
        <v>12</v>
      </c>
      <c r="F200" s="82"/>
      <c r="G200" s="322" t="s">
        <v>16</v>
      </c>
      <c r="H200" s="323"/>
      <c r="I200" s="324"/>
      <c r="J200" s="323"/>
      <c r="K200" s="323"/>
      <c r="L200" s="323"/>
      <c r="M200" s="323"/>
      <c r="N200" s="323"/>
      <c r="O200" s="323"/>
      <c r="P200" s="323"/>
      <c r="Q200" s="323"/>
      <c r="R200" s="323"/>
      <c r="S200" s="323"/>
      <c r="T200" s="323"/>
      <c r="U200" s="323"/>
      <c r="V200" s="323"/>
      <c r="W200" s="323"/>
      <c r="X200" s="323"/>
      <c r="Y200" s="323"/>
      <c r="Z200" s="323"/>
      <c r="AA200" s="323"/>
      <c r="AB200" s="323"/>
      <c r="AC200" s="19"/>
      <c r="AD200" s="31"/>
      <c r="AE200" s="34">
        <f>+AE201</f>
        <v>1000000</v>
      </c>
      <c r="AF200" s="127">
        <f>(AE200/AE$13)*100</f>
        <v>7.5786312836539776E-3</v>
      </c>
      <c r="AG200" s="127"/>
      <c r="AH200" s="196"/>
      <c r="AI200" s="189"/>
      <c r="AJ200" s="188"/>
      <c r="AK200" s="188"/>
      <c r="AL200" s="189"/>
      <c r="AM200" s="188"/>
      <c r="AN200" s="188"/>
      <c r="AO200" s="183"/>
      <c r="AP200" s="183"/>
      <c r="AQ200" s="183"/>
      <c r="AR200" s="183"/>
      <c r="AS200" s="273"/>
      <c r="AT200" s="156"/>
      <c r="AU200" s="157">
        <f t="shared" si="20"/>
        <v>0</v>
      </c>
    </row>
    <row r="201" spans="2:47" hidden="1" x14ac:dyDescent="0.25">
      <c r="B201" s="83">
        <v>5</v>
      </c>
      <c r="C201" s="87">
        <v>2</v>
      </c>
      <c r="D201" s="82">
        <v>2</v>
      </c>
      <c r="E201" s="84" t="s">
        <v>12</v>
      </c>
      <c r="F201" s="35" t="s">
        <v>10</v>
      </c>
      <c r="G201" s="73" t="s">
        <v>88</v>
      </c>
      <c r="H201" s="326"/>
      <c r="I201" s="326"/>
      <c r="J201" s="326"/>
      <c r="K201" s="326"/>
      <c r="L201" s="326"/>
      <c r="M201" s="326"/>
      <c r="N201" s="326"/>
      <c r="O201" s="326"/>
      <c r="P201" s="326"/>
      <c r="Q201" s="326"/>
      <c r="R201" s="326"/>
      <c r="S201" s="326"/>
      <c r="T201" s="326"/>
      <c r="U201" s="326"/>
      <c r="V201" s="326"/>
      <c r="W201" s="326"/>
      <c r="X201" s="326"/>
      <c r="Y201" s="326"/>
      <c r="Z201" s="326"/>
      <c r="AA201" s="326"/>
      <c r="AB201" s="326"/>
      <c r="AC201" s="19"/>
      <c r="AD201" s="31"/>
      <c r="AE201" s="74">
        <v>1000000</v>
      </c>
      <c r="AF201" s="127">
        <f>(AE201/AE$13)*100</f>
        <v>7.5786312836539776E-3</v>
      </c>
      <c r="AG201" s="127"/>
      <c r="AH201" s="196"/>
      <c r="AI201" s="189"/>
      <c r="AJ201" s="188">
        <f>+AE201/2</f>
        <v>500000</v>
      </c>
      <c r="AK201" s="188"/>
      <c r="AL201" s="189"/>
      <c r="AM201" s="188"/>
      <c r="AN201" s="188"/>
      <c r="AO201" s="183">
        <f>+AJ201</f>
        <v>500000</v>
      </c>
      <c r="AP201" s="183"/>
      <c r="AQ201" s="183"/>
      <c r="AR201" s="183"/>
      <c r="AS201" s="273"/>
      <c r="AT201" s="156"/>
      <c r="AU201" s="157">
        <f t="shared" si="20"/>
        <v>1000000</v>
      </c>
    </row>
    <row r="202" spans="2:47" hidden="1" x14ac:dyDescent="0.25">
      <c r="B202" s="83"/>
      <c r="C202" s="87"/>
      <c r="D202" s="82"/>
      <c r="E202" s="84"/>
      <c r="F202" s="35"/>
      <c r="G202" s="73"/>
      <c r="H202" s="326"/>
      <c r="I202" s="326"/>
      <c r="J202" s="326"/>
      <c r="K202" s="326"/>
      <c r="L202" s="326"/>
      <c r="M202" s="326"/>
      <c r="N202" s="326"/>
      <c r="O202" s="326"/>
      <c r="P202" s="326"/>
      <c r="Q202" s="326"/>
      <c r="R202" s="326"/>
      <c r="S202" s="326"/>
      <c r="T202" s="326"/>
      <c r="U202" s="326"/>
      <c r="V202" s="326"/>
      <c r="W202" s="326"/>
      <c r="X202" s="326"/>
      <c r="Y202" s="326"/>
      <c r="Z202" s="326"/>
      <c r="AA202" s="326"/>
      <c r="AB202" s="326"/>
      <c r="AC202" s="19"/>
      <c r="AD202" s="31"/>
      <c r="AE202" s="74"/>
      <c r="AF202" s="127"/>
      <c r="AG202" s="127"/>
      <c r="AH202" s="196"/>
      <c r="AI202" s="189"/>
      <c r="AJ202" s="188"/>
      <c r="AK202" s="188"/>
      <c r="AL202" s="189"/>
      <c r="AM202" s="188"/>
      <c r="AN202" s="188"/>
      <c r="AO202" s="183"/>
      <c r="AP202" s="183"/>
      <c r="AQ202" s="183"/>
      <c r="AR202" s="183"/>
      <c r="AS202" s="273"/>
      <c r="AT202" s="156"/>
      <c r="AU202" s="157">
        <f t="shared" si="20"/>
        <v>0</v>
      </c>
    </row>
    <row r="203" spans="2:47" hidden="1" x14ac:dyDescent="0.25">
      <c r="B203" s="32">
        <v>5</v>
      </c>
      <c r="C203" s="36">
        <v>2</v>
      </c>
      <c r="D203" s="33">
        <v>2</v>
      </c>
      <c r="E203" s="33">
        <v>15</v>
      </c>
      <c r="F203" s="82"/>
      <c r="G203" s="322" t="s">
        <v>57</v>
      </c>
      <c r="H203" s="323"/>
      <c r="I203" s="324"/>
      <c r="J203" s="323"/>
      <c r="K203" s="323"/>
      <c r="L203" s="323"/>
      <c r="M203" s="323"/>
      <c r="N203" s="323"/>
      <c r="O203" s="323"/>
      <c r="P203" s="323"/>
      <c r="Q203" s="323"/>
      <c r="R203" s="323"/>
      <c r="S203" s="323"/>
      <c r="T203" s="323"/>
      <c r="U203" s="323"/>
      <c r="V203" s="323"/>
      <c r="W203" s="323"/>
      <c r="X203" s="323"/>
      <c r="Y203" s="323"/>
      <c r="Z203" s="323"/>
      <c r="AA203" s="323"/>
      <c r="AB203" s="323"/>
      <c r="AC203" s="19"/>
      <c r="AD203" s="31"/>
      <c r="AE203" s="34">
        <f>+AE204+AE206</f>
        <v>10000000</v>
      </c>
      <c r="AF203" s="127">
        <f>(AE203/AE$13)*100</f>
        <v>7.5786312836539776E-2</v>
      </c>
      <c r="AG203" s="127"/>
      <c r="AH203" s="196"/>
      <c r="AI203" s="189"/>
      <c r="AJ203" s="188"/>
      <c r="AK203" s="188"/>
      <c r="AL203" s="189"/>
      <c r="AM203" s="188"/>
      <c r="AN203" s="188"/>
      <c r="AO203" s="183"/>
      <c r="AP203" s="183"/>
      <c r="AQ203" s="183"/>
      <c r="AR203" s="183"/>
      <c r="AS203" s="273"/>
      <c r="AT203" s="156"/>
      <c r="AU203" s="157">
        <f t="shared" si="20"/>
        <v>0</v>
      </c>
    </row>
    <row r="204" spans="2:47" hidden="1" x14ac:dyDescent="0.25">
      <c r="B204" s="83">
        <v>5</v>
      </c>
      <c r="C204" s="87">
        <v>2</v>
      </c>
      <c r="D204" s="82">
        <v>2</v>
      </c>
      <c r="E204" s="82">
        <v>15</v>
      </c>
      <c r="F204" s="84" t="s">
        <v>5</v>
      </c>
      <c r="G204" s="325" t="s">
        <v>89</v>
      </c>
      <c r="H204" s="326"/>
      <c r="I204" s="327"/>
      <c r="J204" s="326"/>
      <c r="K204" s="326"/>
      <c r="L204" s="326"/>
      <c r="M204" s="326"/>
      <c r="N204" s="326"/>
      <c r="O204" s="326"/>
      <c r="P204" s="326"/>
      <c r="Q204" s="326"/>
      <c r="R204" s="326"/>
      <c r="S204" s="326"/>
      <c r="T204" s="326"/>
      <c r="U204" s="326"/>
      <c r="V204" s="326"/>
      <c r="W204" s="326"/>
      <c r="X204" s="326"/>
      <c r="Y204" s="326"/>
      <c r="Z204" s="326"/>
      <c r="AA204" s="326"/>
      <c r="AB204" s="326"/>
      <c r="AC204" s="19"/>
      <c r="AD204" s="31"/>
      <c r="AE204" s="74">
        <v>10000000</v>
      </c>
      <c r="AF204" s="127">
        <f>(AE204/AE$13)*100</f>
        <v>7.5786312836539776E-2</v>
      </c>
      <c r="AG204" s="127"/>
      <c r="AH204" s="196"/>
      <c r="AI204" s="189">
        <v>3000000</v>
      </c>
      <c r="AJ204" s="188">
        <f>+AI204</f>
        <v>3000000</v>
      </c>
      <c r="AK204" s="188">
        <v>2000000</v>
      </c>
      <c r="AL204" s="189">
        <v>2000000</v>
      </c>
      <c r="AM204" s="188"/>
      <c r="AN204" s="188"/>
      <c r="AO204" s="183"/>
      <c r="AP204" s="183"/>
      <c r="AQ204" s="183"/>
      <c r="AR204" s="183"/>
      <c r="AS204" s="273"/>
      <c r="AT204" s="156"/>
      <c r="AU204" s="157">
        <f t="shared" si="20"/>
        <v>10000000</v>
      </c>
    </row>
    <row r="205" spans="2:47" ht="6" hidden="1" customHeight="1" x14ac:dyDescent="0.25">
      <c r="B205" s="83"/>
      <c r="C205" s="87"/>
      <c r="D205" s="82"/>
      <c r="E205" s="82"/>
      <c r="F205" s="84"/>
      <c r="G205" s="325"/>
      <c r="H205" s="326"/>
      <c r="I205" s="326"/>
      <c r="J205" s="326"/>
      <c r="K205" s="326"/>
      <c r="L205" s="326"/>
      <c r="M205" s="326"/>
      <c r="N205" s="326"/>
      <c r="O205" s="326"/>
      <c r="P205" s="326"/>
      <c r="Q205" s="326"/>
      <c r="R205" s="326"/>
      <c r="S205" s="326"/>
      <c r="T205" s="326"/>
      <c r="U205" s="326"/>
      <c r="V205" s="326"/>
      <c r="W205" s="326"/>
      <c r="X205" s="326"/>
      <c r="Y205" s="326"/>
      <c r="Z205" s="326"/>
      <c r="AA205" s="326"/>
      <c r="AB205" s="326"/>
      <c r="AC205" s="19"/>
      <c r="AD205" s="31"/>
      <c r="AE205" s="74"/>
      <c r="AF205" s="127"/>
      <c r="AG205" s="127"/>
      <c r="AH205" s="196"/>
      <c r="AI205" s="189"/>
      <c r="AJ205" s="188"/>
      <c r="AK205" s="188"/>
      <c r="AL205" s="189"/>
      <c r="AM205" s="188"/>
      <c r="AN205" s="188"/>
      <c r="AO205" s="183"/>
      <c r="AP205" s="183"/>
      <c r="AQ205" s="183"/>
      <c r="AR205" s="183"/>
      <c r="AS205" s="273"/>
      <c r="AT205" s="156"/>
      <c r="AU205" s="157">
        <f t="shared" si="20"/>
        <v>0</v>
      </c>
    </row>
    <row r="206" spans="2:47" hidden="1" x14ac:dyDescent="0.25">
      <c r="B206" s="83">
        <v>5</v>
      </c>
      <c r="C206" s="87">
        <v>2</v>
      </c>
      <c r="D206" s="82">
        <v>2</v>
      </c>
      <c r="E206" s="82">
        <v>15</v>
      </c>
      <c r="F206" s="84" t="s">
        <v>10</v>
      </c>
      <c r="G206" s="325" t="s">
        <v>90</v>
      </c>
      <c r="H206" s="326"/>
      <c r="I206" s="326"/>
      <c r="J206" s="326"/>
      <c r="K206" s="326"/>
      <c r="L206" s="326"/>
      <c r="M206" s="326"/>
      <c r="N206" s="326"/>
      <c r="O206" s="326"/>
      <c r="P206" s="326"/>
      <c r="Q206" s="326"/>
      <c r="R206" s="326"/>
      <c r="S206" s="326"/>
      <c r="T206" s="326"/>
      <c r="U206" s="326"/>
      <c r="V206" s="326"/>
      <c r="W206" s="326"/>
      <c r="X206" s="326"/>
      <c r="Y206" s="326"/>
      <c r="Z206" s="326"/>
      <c r="AA206" s="326"/>
      <c r="AB206" s="326"/>
      <c r="AC206" s="19"/>
      <c r="AD206" s="31"/>
      <c r="AE206" s="74">
        <v>0</v>
      </c>
      <c r="AF206" s="127">
        <f>(AE206/AE$13)*100</f>
        <v>0</v>
      </c>
      <c r="AG206" s="127"/>
      <c r="AH206" s="196"/>
      <c r="AI206" s="189"/>
      <c r="AJ206" s="188"/>
      <c r="AK206" s="188"/>
      <c r="AL206" s="189"/>
      <c r="AM206" s="188"/>
      <c r="AN206" s="188"/>
      <c r="AO206" s="183"/>
      <c r="AP206" s="183"/>
      <c r="AQ206" s="183"/>
      <c r="AR206" s="183"/>
      <c r="AS206" s="273"/>
      <c r="AT206" s="156"/>
      <c r="AU206" s="157">
        <f t="shared" si="20"/>
        <v>0</v>
      </c>
    </row>
    <row r="207" spans="2:47" ht="7.5" hidden="1" customHeight="1" x14ac:dyDescent="0.25">
      <c r="B207" s="83"/>
      <c r="C207" s="87"/>
      <c r="D207" s="82"/>
      <c r="E207" s="82"/>
      <c r="F207" s="84"/>
      <c r="G207" s="325"/>
      <c r="H207" s="326"/>
      <c r="I207" s="326"/>
      <c r="J207" s="326"/>
      <c r="K207" s="326"/>
      <c r="L207" s="326"/>
      <c r="M207" s="326"/>
      <c r="N207" s="326"/>
      <c r="O207" s="326"/>
      <c r="P207" s="326"/>
      <c r="Q207" s="326"/>
      <c r="R207" s="326"/>
      <c r="S207" s="326"/>
      <c r="T207" s="326"/>
      <c r="U207" s="326"/>
      <c r="V207" s="326"/>
      <c r="W207" s="326"/>
      <c r="X207" s="326"/>
      <c r="Y207" s="326"/>
      <c r="Z207" s="326"/>
      <c r="AA207" s="326"/>
      <c r="AB207" s="326"/>
      <c r="AC207" s="19"/>
      <c r="AD207" s="31"/>
      <c r="AE207" s="74"/>
      <c r="AF207" s="127"/>
      <c r="AG207" s="127"/>
      <c r="AH207" s="196"/>
      <c r="AI207" s="189"/>
      <c r="AJ207" s="188"/>
      <c r="AK207" s="188"/>
      <c r="AL207" s="189"/>
      <c r="AM207" s="188"/>
      <c r="AN207" s="188"/>
      <c r="AO207" s="183"/>
      <c r="AP207" s="183"/>
      <c r="AQ207" s="183"/>
      <c r="AR207" s="183"/>
      <c r="AS207" s="273"/>
      <c r="AT207" s="156"/>
      <c r="AU207" s="157">
        <f t="shared" si="20"/>
        <v>0</v>
      </c>
    </row>
    <row r="208" spans="2:47" hidden="1" x14ac:dyDescent="0.25">
      <c r="B208" s="32">
        <v>5</v>
      </c>
      <c r="C208" s="33">
        <v>2</v>
      </c>
      <c r="D208" s="33">
        <v>2</v>
      </c>
      <c r="E208" s="35" t="s">
        <v>32</v>
      </c>
      <c r="F208" s="82"/>
      <c r="G208" s="44" t="s">
        <v>91</v>
      </c>
      <c r="H208" s="45"/>
      <c r="I208" s="4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19"/>
      <c r="AD208" s="31"/>
      <c r="AE208" s="34">
        <f>AE209</f>
        <v>425000000</v>
      </c>
      <c r="AF208" s="127">
        <f t="shared" ref="AF208:AF213" si="25">(AE208/AE$13)*100</f>
        <v>3.220918295552941</v>
      </c>
      <c r="AG208" s="127"/>
      <c r="AH208" s="196"/>
      <c r="AI208" s="189"/>
      <c r="AJ208" s="188"/>
      <c r="AK208" s="188"/>
      <c r="AL208" s="189"/>
      <c r="AM208" s="188"/>
      <c r="AN208" s="188"/>
      <c r="AO208" s="183"/>
      <c r="AP208" s="183"/>
      <c r="AQ208" s="183"/>
      <c r="AR208" s="183"/>
      <c r="AS208" s="273"/>
      <c r="AT208" s="156"/>
      <c r="AU208" s="157">
        <f t="shared" si="20"/>
        <v>0</v>
      </c>
    </row>
    <row r="209" spans="2:47" hidden="1" x14ac:dyDescent="0.25">
      <c r="B209" s="83">
        <v>5</v>
      </c>
      <c r="C209" s="82">
        <v>2</v>
      </c>
      <c r="D209" s="82">
        <v>2</v>
      </c>
      <c r="E209" s="84" t="s">
        <v>32</v>
      </c>
      <c r="F209" s="84" t="s">
        <v>10</v>
      </c>
      <c r="G209" s="73" t="s">
        <v>92</v>
      </c>
      <c r="H209" s="75"/>
      <c r="I209" s="86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19"/>
      <c r="AD209" s="31"/>
      <c r="AE209" s="74">
        <f>+AE210</f>
        <v>425000000</v>
      </c>
      <c r="AF209" s="127">
        <f t="shared" si="25"/>
        <v>3.220918295552941</v>
      </c>
      <c r="AG209" s="127"/>
      <c r="AH209" s="196"/>
      <c r="AI209" s="189"/>
      <c r="AJ209" s="188"/>
      <c r="AK209" s="188"/>
      <c r="AL209" s="189"/>
      <c r="AM209" s="188"/>
      <c r="AN209" s="188"/>
      <c r="AO209" s="183"/>
      <c r="AP209" s="183"/>
      <c r="AQ209" s="183"/>
      <c r="AR209" s="183"/>
      <c r="AS209" s="273"/>
      <c r="AT209" s="156"/>
      <c r="AU209" s="157">
        <f t="shared" si="20"/>
        <v>0</v>
      </c>
    </row>
    <row r="210" spans="2:47" hidden="1" x14ac:dyDescent="0.25">
      <c r="B210" s="83"/>
      <c r="C210" s="82"/>
      <c r="D210" s="82"/>
      <c r="E210" s="82"/>
      <c r="F210" s="82"/>
      <c r="G210" s="73" t="s">
        <v>150</v>
      </c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19"/>
      <c r="AD210" s="31"/>
      <c r="AE210" s="74">
        <f>SUM(AE211:AE213)</f>
        <v>425000000</v>
      </c>
      <c r="AF210" s="127">
        <f t="shared" si="25"/>
        <v>3.220918295552941</v>
      </c>
      <c r="AG210" s="127"/>
      <c r="AH210" s="196"/>
      <c r="AI210" s="189"/>
      <c r="AJ210" s="188"/>
      <c r="AK210" s="188"/>
      <c r="AL210" s="189"/>
      <c r="AM210" s="188"/>
      <c r="AN210" s="188"/>
      <c r="AO210" s="183"/>
      <c r="AP210" s="183"/>
      <c r="AQ210" s="183"/>
      <c r="AR210" s="183"/>
      <c r="AS210" s="273"/>
      <c r="AT210" s="156"/>
      <c r="AU210" s="157">
        <f t="shared" si="20"/>
        <v>0</v>
      </c>
    </row>
    <row r="211" spans="2:47" hidden="1" x14ac:dyDescent="0.25">
      <c r="B211" s="83"/>
      <c r="C211" s="82"/>
      <c r="D211" s="82"/>
      <c r="E211" s="82"/>
      <c r="F211" s="82"/>
      <c r="G211" s="123">
        <v>1</v>
      </c>
      <c r="H211" s="75" t="s">
        <v>151</v>
      </c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19"/>
      <c r="AD211" s="31"/>
      <c r="AE211" s="74">
        <v>150000000</v>
      </c>
      <c r="AF211" s="127">
        <f t="shared" si="25"/>
        <v>1.1367946925480967</v>
      </c>
      <c r="AG211" s="127"/>
      <c r="AH211" s="196"/>
      <c r="AI211" s="189"/>
      <c r="AJ211" s="188">
        <f>0.3*AE211</f>
        <v>45000000</v>
      </c>
      <c r="AK211" s="188">
        <f>0.5*AE211-(0.5*AJ211)</f>
        <v>52500000</v>
      </c>
      <c r="AL211" s="188">
        <f>+AK211</f>
        <v>52500000</v>
      </c>
      <c r="AM211" s="208"/>
      <c r="AN211" s="72"/>
      <c r="AO211" s="183"/>
      <c r="AP211" s="183"/>
      <c r="AQ211" s="183"/>
      <c r="AR211" s="183"/>
      <c r="AS211" s="273"/>
      <c r="AT211" s="156"/>
      <c r="AU211" s="157">
        <f t="shared" si="20"/>
        <v>150000000</v>
      </c>
    </row>
    <row r="212" spans="2:47" hidden="1" x14ac:dyDescent="0.25">
      <c r="B212" s="83"/>
      <c r="C212" s="82"/>
      <c r="D212" s="82"/>
      <c r="E212" s="82"/>
      <c r="F212" s="82"/>
      <c r="G212" s="123">
        <f>+G211+1</f>
        <v>2</v>
      </c>
      <c r="H212" s="75" t="s">
        <v>152</v>
      </c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19"/>
      <c r="AD212" s="31"/>
      <c r="AE212" s="74">
        <v>150000000</v>
      </c>
      <c r="AF212" s="127">
        <f t="shared" si="25"/>
        <v>1.1367946925480967</v>
      </c>
      <c r="AG212" s="127"/>
      <c r="AH212" s="196"/>
      <c r="AI212" s="189"/>
      <c r="AJ212" s="188">
        <f>0.3*AE212</f>
        <v>45000000</v>
      </c>
      <c r="AK212" s="188">
        <f>0.5*AE212-(0.5*AJ212)</f>
        <v>52500000</v>
      </c>
      <c r="AL212" s="188">
        <f>+AK212</f>
        <v>52500000</v>
      </c>
      <c r="AM212" s="208"/>
      <c r="AN212" s="306"/>
      <c r="AO212" s="183"/>
      <c r="AP212" s="183"/>
      <c r="AQ212" s="183"/>
      <c r="AR212" s="183"/>
      <c r="AS212" s="273"/>
      <c r="AT212" s="156"/>
      <c r="AU212" s="157">
        <f t="shared" si="20"/>
        <v>150000000</v>
      </c>
    </row>
    <row r="213" spans="2:47" ht="13.8" hidden="1" thickBot="1" x14ac:dyDescent="0.3">
      <c r="B213" s="83"/>
      <c r="C213" s="82"/>
      <c r="D213" s="82"/>
      <c r="E213" s="82"/>
      <c r="F213" s="82"/>
      <c r="G213" s="123">
        <f>+G212+1</f>
        <v>3</v>
      </c>
      <c r="H213" s="75" t="s">
        <v>153</v>
      </c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19"/>
      <c r="AD213" s="31"/>
      <c r="AE213" s="74">
        <v>125000000</v>
      </c>
      <c r="AF213" s="127">
        <f t="shared" si="25"/>
        <v>0.94732891045674716</v>
      </c>
      <c r="AG213" s="127"/>
      <c r="AH213" s="196"/>
      <c r="AI213" s="189"/>
      <c r="AJ213" s="188">
        <f>0.3*AE213</f>
        <v>37500000</v>
      </c>
      <c r="AK213" s="188">
        <f>0.5*AE213-(0.5*AJ213)</f>
        <v>43750000</v>
      </c>
      <c r="AL213" s="188">
        <f>+AK213</f>
        <v>43750000</v>
      </c>
      <c r="AM213" s="304"/>
      <c r="AN213" s="72"/>
      <c r="AO213" s="183"/>
      <c r="AP213" s="183"/>
      <c r="AQ213" s="183"/>
      <c r="AR213" s="183"/>
      <c r="AS213" s="273"/>
      <c r="AT213" s="156"/>
      <c r="AU213" s="157">
        <f t="shared" si="20"/>
        <v>125000000</v>
      </c>
    </row>
    <row r="214" spans="2:47" ht="13.8" hidden="1" thickTop="1" x14ac:dyDescent="0.25">
      <c r="B214" s="235"/>
      <c r="C214" s="236"/>
      <c r="D214" s="236"/>
      <c r="E214" s="236"/>
      <c r="F214" s="236"/>
      <c r="G214" s="242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7"/>
      <c r="S214" s="237"/>
      <c r="T214" s="237"/>
      <c r="U214" s="237"/>
      <c r="V214" s="237"/>
      <c r="W214" s="237"/>
      <c r="X214" s="237"/>
      <c r="Y214" s="237"/>
      <c r="Z214" s="237"/>
      <c r="AA214" s="237"/>
      <c r="AB214" s="237"/>
      <c r="AC214" s="238"/>
      <c r="AD214" s="239"/>
      <c r="AE214" s="257">
        <f>SUM(AH214:AS214)</f>
        <v>446881650</v>
      </c>
      <c r="AF214" s="240"/>
      <c r="AG214" s="240"/>
      <c r="AH214" s="241">
        <f>SUM(AH186:AH213)</f>
        <v>0</v>
      </c>
      <c r="AI214" s="241">
        <f t="shared" ref="AI214:AS214" si="26">SUM(AI186:AI213)</f>
        <v>3976825</v>
      </c>
      <c r="AJ214" s="241">
        <f>SUM(AJ186:AJ213)</f>
        <v>131000000</v>
      </c>
      <c r="AK214" s="241">
        <f t="shared" si="26"/>
        <v>155628000</v>
      </c>
      <c r="AL214" s="241">
        <f t="shared" si="26"/>
        <v>150750000</v>
      </c>
      <c r="AM214" s="241">
        <f t="shared" si="26"/>
        <v>4050000</v>
      </c>
      <c r="AN214" s="241">
        <f t="shared" si="26"/>
        <v>976825</v>
      </c>
      <c r="AO214" s="241">
        <f t="shared" si="26"/>
        <v>500000</v>
      </c>
      <c r="AP214" s="241">
        <f t="shared" si="26"/>
        <v>0</v>
      </c>
      <c r="AQ214" s="241">
        <f t="shared" si="26"/>
        <v>0</v>
      </c>
      <c r="AR214" s="241">
        <f t="shared" si="26"/>
        <v>0</v>
      </c>
      <c r="AS214" s="278">
        <f t="shared" si="26"/>
        <v>0</v>
      </c>
      <c r="AT214" s="156"/>
      <c r="AU214" s="157">
        <f t="shared" si="20"/>
        <v>446881650</v>
      </c>
    </row>
    <row r="215" spans="2:47" ht="13.8" hidden="1" thickBot="1" x14ac:dyDescent="0.3">
      <c r="B215" s="99"/>
      <c r="C215" s="100"/>
      <c r="D215" s="100"/>
      <c r="E215" s="100"/>
      <c r="F215" s="100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62"/>
      <c r="AD215" s="244"/>
      <c r="AE215" s="266" t="s">
        <v>225</v>
      </c>
      <c r="AF215" s="245"/>
      <c r="AG215" s="245"/>
      <c r="AH215" s="978">
        <f>+AH214+AI214+AJ214</f>
        <v>134976825</v>
      </c>
      <c r="AI215" s="979"/>
      <c r="AJ215" s="258"/>
      <c r="AK215" s="980">
        <f>+AK214+AL214+AM214</f>
        <v>310428000</v>
      </c>
      <c r="AL215" s="981"/>
      <c r="AM215" s="259"/>
      <c r="AN215" s="982">
        <f>+AN214+AO214+AP214</f>
        <v>1476825</v>
      </c>
      <c r="AO215" s="983"/>
      <c r="AP215" s="260"/>
      <c r="AQ215" s="976">
        <f>+AQ214+AR214+AS214</f>
        <v>0</v>
      </c>
      <c r="AR215" s="977"/>
      <c r="AS215" s="283"/>
      <c r="AT215" s="156"/>
      <c r="AU215" s="157">
        <f t="shared" si="20"/>
        <v>446881650</v>
      </c>
    </row>
    <row r="216" spans="2:47" hidden="1" x14ac:dyDescent="0.25">
      <c r="B216" s="329" t="s">
        <v>220</v>
      </c>
      <c r="C216" s="132"/>
      <c r="D216" s="132"/>
      <c r="E216" s="132"/>
      <c r="F216" s="132"/>
      <c r="G216" s="133"/>
      <c r="H216" s="134"/>
      <c r="I216" s="134" t="s">
        <v>219</v>
      </c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52"/>
      <c r="AD216" s="153"/>
      <c r="AE216" s="103">
        <f>+AE217+AE245</f>
        <v>1761728100</v>
      </c>
      <c r="AF216" s="150">
        <f t="shared" ref="AF216:AF236" si="27">(AE216/AE$13)*100</f>
        <v>13.351487691952283</v>
      </c>
      <c r="AG216" s="150"/>
      <c r="AH216" s="196"/>
      <c r="AI216" s="189"/>
      <c r="AJ216" s="188"/>
      <c r="AK216" s="188"/>
      <c r="AL216" s="189"/>
      <c r="AM216" s="188"/>
      <c r="AN216" s="188"/>
      <c r="AO216" s="183"/>
      <c r="AP216" s="183"/>
      <c r="AQ216" s="183"/>
      <c r="AR216" s="183"/>
      <c r="AS216" s="273"/>
      <c r="AT216" s="156"/>
      <c r="AU216" s="157">
        <f t="shared" si="20"/>
        <v>0</v>
      </c>
    </row>
    <row r="217" spans="2:47" hidden="1" x14ac:dyDescent="0.25">
      <c r="B217" s="83">
        <v>5</v>
      </c>
      <c r="C217" s="82">
        <v>2</v>
      </c>
      <c r="D217" s="82">
        <v>1</v>
      </c>
      <c r="E217" s="82"/>
      <c r="F217" s="82"/>
      <c r="G217" s="73" t="s">
        <v>45</v>
      </c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48"/>
      <c r="AD217" s="49"/>
      <c r="AE217" s="34">
        <f>+AE218</f>
        <v>266398000</v>
      </c>
      <c r="AF217" s="127">
        <f t="shared" si="27"/>
        <v>2.0189322167028525</v>
      </c>
      <c r="AG217" s="127"/>
      <c r="AH217" s="196"/>
      <c r="AI217" s="189"/>
      <c r="AJ217" s="188"/>
      <c r="AK217" s="188"/>
      <c r="AL217" s="189"/>
      <c r="AM217" s="188"/>
      <c r="AN217" s="188"/>
      <c r="AO217" s="183"/>
      <c r="AP217" s="183"/>
      <c r="AQ217" s="183"/>
      <c r="AR217" s="183"/>
      <c r="AS217" s="273"/>
      <c r="AT217" s="156"/>
      <c r="AU217" s="157">
        <f t="shared" si="20"/>
        <v>0</v>
      </c>
    </row>
    <row r="218" spans="2:47" hidden="1" x14ac:dyDescent="0.25">
      <c r="B218" s="83">
        <v>5</v>
      </c>
      <c r="C218" s="82">
        <v>2</v>
      </c>
      <c r="D218" s="82">
        <v>1</v>
      </c>
      <c r="E218" s="84" t="s">
        <v>5</v>
      </c>
      <c r="F218" s="82"/>
      <c r="G218" s="89" t="s">
        <v>51</v>
      </c>
      <c r="H218" s="90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48"/>
      <c r="AD218" s="49"/>
      <c r="AE218" s="34">
        <f>+AE219+AE238</f>
        <v>266398000</v>
      </c>
      <c r="AF218" s="127">
        <f t="shared" si="27"/>
        <v>2.0189322167028525</v>
      </c>
      <c r="AG218" s="127"/>
      <c r="AH218" s="196"/>
      <c r="AI218" s="189"/>
      <c r="AJ218" s="188"/>
      <c r="AK218" s="188"/>
      <c r="AL218" s="189"/>
      <c r="AM218" s="188"/>
      <c r="AN218" s="188"/>
      <c r="AO218" s="183"/>
      <c r="AP218" s="183"/>
      <c r="AQ218" s="183"/>
      <c r="AR218" s="183"/>
      <c r="AS218" s="273"/>
      <c r="AT218" s="156"/>
      <c r="AU218" s="157">
        <f t="shared" si="20"/>
        <v>0</v>
      </c>
    </row>
    <row r="219" spans="2:47" hidden="1" x14ac:dyDescent="0.25">
      <c r="B219" s="83">
        <v>5</v>
      </c>
      <c r="C219" s="82">
        <v>2</v>
      </c>
      <c r="D219" s="82">
        <v>1</v>
      </c>
      <c r="E219" s="84" t="s">
        <v>5</v>
      </c>
      <c r="F219" s="84" t="s">
        <v>5</v>
      </c>
      <c r="G219" s="53" t="s">
        <v>46</v>
      </c>
      <c r="H219" s="59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48"/>
      <c r="AD219" s="49"/>
      <c r="AE219" s="34">
        <f>+AE220+AE221+AE222+AE223+AE225+AE235+AE236</f>
        <v>259738000</v>
      </c>
      <c r="AF219" s="127">
        <f t="shared" si="27"/>
        <v>1.9684585323537169</v>
      </c>
      <c r="AG219" s="127"/>
      <c r="AH219" s="196"/>
      <c r="AI219" s="189"/>
      <c r="AJ219" s="188"/>
      <c r="AK219" s="188"/>
      <c r="AL219" s="189"/>
      <c r="AM219" s="188"/>
      <c r="AN219" s="188"/>
      <c r="AO219" s="183"/>
      <c r="AP219" s="183"/>
      <c r="AQ219" s="183"/>
      <c r="AR219" s="183"/>
      <c r="AS219" s="273"/>
      <c r="AT219" s="156"/>
      <c r="AU219" s="157">
        <f t="shared" si="20"/>
        <v>0</v>
      </c>
    </row>
    <row r="220" spans="2:47" hidden="1" x14ac:dyDescent="0.25">
      <c r="B220" s="83"/>
      <c r="C220" s="82"/>
      <c r="D220" s="82"/>
      <c r="E220" s="84"/>
      <c r="F220" s="84"/>
      <c r="G220" s="53" t="s">
        <v>35</v>
      </c>
      <c r="H220" s="60" t="s">
        <v>172</v>
      </c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48"/>
      <c r="AD220" s="49"/>
      <c r="AE220" s="74">
        <v>44697000</v>
      </c>
      <c r="AF220" s="127">
        <f t="shared" si="27"/>
        <v>0.33874208248548188</v>
      </c>
      <c r="AG220" s="127"/>
      <c r="AH220" s="196"/>
      <c r="AI220" s="189">
        <f>+AE220/3</f>
        <v>14899000</v>
      </c>
      <c r="AJ220" s="188"/>
      <c r="AK220" s="189"/>
      <c r="AL220" s="188">
        <f>+AI220</f>
        <v>14899000</v>
      </c>
      <c r="AM220" s="188"/>
      <c r="AN220" s="72"/>
      <c r="AO220" s="183">
        <f>+AL220</f>
        <v>14899000</v>
      </c>
      <c r="AP220" s="183"/>
      <c r="AQ220" s="183"/>
      <c r="AR220" s="183"/>
      <c r="AS220" s="273"/>
      <c r="AT220" s="156"/>
      <c r="AU220" s="157">
        <f t="shared" si="20"/>
        <v>44697000</v>
      </c>
    </row>
    <row r="221" spans="2:47" hidden="1" x14ac:dyDescent="0.25">
      <c r="B221" s="83"/>
      <c r="C221" s="82"/>
      <c r="D221" s="82"/>
      <c r="E221" s="82"/>
      <c r="F221" s="82"/>
      <c r="G221" s="53" t="s">
        <v>36</v>
      </c>
      <c r="H221" s="101" t="s">
        <v>173</v>
      </c>
      <c r="I221" s="54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48"/>
      <c r="AD221" s="49"/>
      <c r="AE221" s="74">
        <v>15729000</v>
      </c>
      <c r="AF221" s="127">
        <f t="shared" si="27"/>
        <v>0.11920429146059341</v>
      </c>
      <c r="AG221" s="127"/>
      <c r="AH221" s="196"/>
      <c r="AI221" s="189">
        <f>+AE221/3</f>
        <v>5243000</v>
      </c>
      <c r="AJ221" s="188"/>
      <c r="AK221" s="189"/>
      <c r="AL221" s="188">
        <f>+AI221</f>
        <v>5243000</v>
      </c>
      <c r="AM221" s="188"/>
      <c r="AN221" s="72"/>
      <c r="AO221" s="183">
        <f>+AL221</f>
        <v>5243000</v>
      </c>
      <c r="AP221" s="183"/>
      <c r="AQ221" s="183"/>
      <c r="AR221" s="183"/>
      <c r="AS221" s="273"/>
      <c r="AT221" s="156"/>
      <c r="AU221" s="157">
        <f t="shared" ref="AU221:AU319" si="28">SUM(AH221:AS221)</f>
        <v>15729000</v>
      </c>
    </row>
    <row r="222" spans="2:47" hidden="1" x14ac:dyDescent="0.25">
      <c r="B222" s="83"/>
      <c r="C222" s="82"/>
      <c r="D222" s="82"/>
      <c r="E222" s="82"/>
      <c r="F222" s="82"/>
      <c r="G222" s="53" t="s">
        <v>40</v>
      </c>
      <c r="H222" s="101" t="s">
        <v>174</v>
      </c>
      <c r="I222" s="54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48"/>
      <c r="AD222" s="49"/>
      <c r="AE222" s="74">
        <v>27706000</v>
      </c>
      <c r="AF222" s="127">
        <f t="shared" si="27"/>
        <v>0.2099735583449171</v>
      </c>
      <c r="AG222" s="127"/>
      <c r="AH222" s="196"/>
      <c r="AI222" s="189"/>
      <c r="AJ222" s="188"/>
      <c r="AK222" s="188"/>
      <c r="AL222" s="189"/>
      <c r="AM222" s="188"/>
      <c r="AN222" s="188">
        <f>+AE222</f>
        <v>27706000</v>
      </c>
      <c r="AO222" s="183"/>
      <c r="AP222" s="183"/>
      <c r="AQ222" s="183"/>
      <c r="AR222" s="183"/>
      <c r="AS222" s="273"/>
      <c r="AT222" s="156"/>
      <c r="AU222" s="157">
        <f t="shared" si="28"/>
        <v>27706000</v>
      </c>
    </row>
    <row r="223" spans="2:47" hidden="1" x14ac:dyDescent="0.25">
      <c r="B223" s="83"/>
      <c r="C223" s="82"/>
      <c r="D223" s="82"/>
      <c r="E223" s="82"/>
      <c r="F223" s="82"/>
      <c r="G223" s="53" t="s">
        <v>41</v>
      </c>
      <c r="H223" s="101" t="s">
        <v>175</v>
      </c>
      <c r="I223" s="54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48"/>
      <c r="AD223" s="49"/>
      <c r="AE223" s="74">
        <v>23882000</v>
      </c>
      <c r="AF223" s="127">
        <f t="shared" si="27"/>
        <v>0.18099287231622432</v>
      </c>
      <c r="AG223" s="127"/>
      <c r="AH223" s="196"/>
      <c r="AI223" s="189"/>
      <c r="AJ223" s="188"/>
      <c r="AK223" s="188">
        <f>+AE223/2</f>
        <v>11941000</v>
      </c>
      <c r="AL223" s="189"/>
      <c r="AM223" s="188"/>
      <c r="AN223" s="188"/>
      <c r="AO223" s="183"/>
      <c r="AP223" s="183">
        <f>+AK223</f>
        <v>11941000</v>
      </c>
      <c r="AQ223" s="183"/>
      <c r="AR223" s="183"/>
      <c r="AS223" s="273"/>
      <c r="AT223" s="156"/>
      <c r="AU223" s="157">
        <f t="shared" si="28"/>
        <v>23882000</v>
      </c>
    </row>
    <row r="224" spans="2:47" hidden="1" x14ac:dyDescent="0.25">
      <c r="B224" s="83"/>
      <c r="C224" s="82"/>
      <c r="D224" s="82"/>
      <c r="E224" s="82"/>
      <c r="F224" s="82"/>
      <c r="G224" s="53"/>
      <c r="H224" s="320" t="s">
        <v>274</v>
      </c>
      <c r="I224" s="54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48"/>
      <c r="AD224" s="49"/>
      <c r="AE224" s="74"/>
      <c r="AF224" s="127"/>
      <c r="AG224" s="127"/>
      <c r="AH224" s="196"/>
      <c r="AI224" s="189"/>
      <c r="AJ224" s="188"/>
      <c r="AK224" s="188"/>
      <c r="AL224" s="189"/>
      <c r="AM224" s="188"/>
      <c r="AN224" s="188"/>
      <c r="AO224" s="183"/>
      <c r="AP224" s="183"/>
      <c r="AQ224" s="183"/>
      <c r="AR224" s="183"/>
      <c r="AS224" s="273"/>
      <c r="AT224" s="156"/>
      <c r="AU224" s="157"/>
    </row>
    <row r="225" spans="2:47" hidden="1" x14ac:dyDescent="0.25">
      <c r="B225" s="83"/>
      <c r="C225" s="82"/>
      <c r="D225" s="82"/>
      <c r="E225" s="82"/>
      <c r="F225" s="82"/>
      <c r="G225" s="53" t="s">
        <v>42</v>
      </c>
      <c r="H225" s="101" t="s">
        <v>276</v>
      </c>
      <c r="I225" s="54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48"/>
      <c r="AD225" s="49"/>
      <c r="AE225" s="34">
        <f>SUM(AE226:AE233)</f>
        <v>136460000</v>
      </c>
      <c r="AF225" s="127">
        <f t="shared" si="27"/>
        <v>1.0341800249674218</v>
      </c>
      <c r="AG225" s="127"/>
      <c r="AH225" s="196"/>
      <c r="AI225" s="189"/>
      <c r="AJ225" s="188"/>
      <c r="AK225" s="188"/>
      <c r="AL225" s="189"/>
      <c r="AM225" s="188"/>
      <c r="AN225" s="188"/>
      <c r="AO225" s="183"/>
      <c r="AP225" s="183"/>
      <c r="AQ225" s="183"/>
      <c r="AR225" s="183"/>
      <c r="AS225" s="273"/>
      <c r="AT225" s="156"/>
      <c r="AU225" s="157">
        <f t="shared" si="28"/>
        <v>0</v>
      </c>
    </row>
    <row r="226" spans="2:47" hidden="1" x14ac:dyDescent="0.25">
      <c r="B226" s="83"/>
      <c r="C226" s="82"/>
      <c r="D226" s="82"/>
      <c r="E226" s="82"/>
      <c r="F226" s="82"/>
      <c r="G226" s="53"/>
      <c r="H226" s="320" t="s">
        <v>273</v>
      </c>
      <c r="I226" s="54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48"/>
      <c r="AD226" s="49"/>
      <c r="AE226" s="74">
        <f>7000000+240000+210000+198000+522000+4800000+4800000+400000+500000+500000</f>
        <v>19170000</v>
      </c>
      <c r="AF226" s="127">
        <f t="shared" si="27"/>
        <v>0.14528236170764677</v>
      </c>
      <c r="AG226" s="127"/>
      <c r="AH226" s="196"/>
      <c r="AI226" s="189"/>
      <c r="AJ226" s="188"/>
      <c r="AK226" s="188"/>
      <c r="AL226" s="189">
        <f>+AE226</f>
        <v>19170000</v>
      </c>
      <c r="AM226" s="188"/>
      <c r="AN226" s="188"/>
      <c r="AO226" s="183"/>
      <c r="AP226" s="183"/>
      <c r="AQ226" s="183"/>
      <c r="AR226" s="183"/>
      <c r="AS226" s="273"/>
      <c r="AT226" s="156"/>
      <c r="AU226" s="157">
        <f t="shared" si="28"/>
        <v>19170000</v>
      </c>
    </row>
    <row r="227" spans="2:47" hidden="1" x14ac:dyDescent="0.25">
      <c r="B227" s="83"/>
      <c r="C227" s="82"/>
      <c r="D227" s="82"/>
      <c r="E227" s="82"/>
      <c r="F227" s="82"/>
      <c r="G227" s="53"/>
      <c r="H227" s="320" t="s">
        <v>275</v>
      </c>
      <c r="I227" s="54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48"/>
      <c r="AD227" s="49"/>
      <c r="AE227" s="74">
        <f>7000000+240000+210000+198000+522000+4800000+2400000+400000+500000+500000</f>
        <v>16770000</v>
      </c>
      <c r="AF227" s="127">
        <f t="shared" si="27"/>
        <v>0.12709364662687722</v>
      </c>
      <c r="AG227" s="127"/>
      <c r="AH227" s="196"/>
      <c r="AI227" s="189"/>
      <c r="AJ227" s="188"/>
      <c r="AK227" s="188"/>
      <c r="AL227" s="189">
        <f>+AE227</f>
        <v>16770000</v>
      </c>
      <c r="AM227" s="188"/>
      <c r="AN227" s="188"/>
      <c r="AO227" s="183"/>
      <c r="AP227" s="183"/>
      <c r="AQ227" s="183"/>
      <c r="AR227" s="183"/>
      <c r="AS227" s="273"/>
      <c r="AT227" s="156"/>
      <c r="AU227" s="157">
        <f t="shared" si="28"/>
        <v>16770000</v>
      </c>
    </row>
    <row r="228" spans="2:47" hidden="1" x14ac:dyDescent="0.25">
      <c r="B228" s="83"/>
      <c r="C228" s="82"/>
      <c r="D228" s="82"/>
      <c r="E228" s="82"/>
      <c r="F228" s="82"/>
      <c r="G228" s="53"/>
      <c r="H228" s="321" t="s">
        <v>277</v>
      </c>
      <c r="I228" s="54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48"/>
      <c r="AD228" s="49"/>
      <c r="AE228" s="74">
        <f>8000000+240000+210000+198000+522000+4800000+4800000+400000+500000+500000</f>
        <v>20170000</v>
      </c>
      <c r="AF228" s="127">
        <f t="shared" si="27"/>
        <v>0.15286099299130074</v>
      </c>
      <c r="AG228" s="127"/>
      <c r="AH228" s="196"/>
      <c r="AI228" s="189"/>
      <c r="AJ228" s="188">
        <f>+AE228</f>
        <v>20170000</v>
      </c>
      <c r="AK228" s="188"/>
      <c r="AL228" s="189"/>
      <c r="AM228" s="188"/>
      <c r="AN228" s="188"/>
      <c r="AO228" s="183"/>
      <c r="AP228" s="183"/>
      <c r="AQ228" s="183"/>
      <c r="AR228" s="183"/>
      <c r="AS228" s="273"/>
      <c r="AT228" s="156"/>
      <c r="AU228" s="157">
        <f t="shared" si="28"/>
        <v>20170000</v>
      </c>
    </row>
    <row r="229" spans="2:47" hidden="1" x14ac:dyDescent="0.25">
      <c r="B229" s="83"/>
      <c r="C229" s="82"/>
      <c r="D229" s="82"/>
      <c r="E229" s="82"/>
      <c r="F229" s="82"/>
      <c r="G229" s="53"/>
      <c r="H229" s="320" t="s">
        <v>278</v>
      </c>
      <c r="I229" s="54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48"/>
      <c r="AD229" s="49"/>
      <c r="AE229" s="74">
        <f>7000000+240000+210000+198000+522000+4800000+4800000+400000+500000+500000</f>
        <v>19170000</v>
      </c>
      <c r="AF229" s="127">
        <f t="shared" si="27"/>
        <v>0.14528236170764677</v>
      </c>
      <c r="AG229" s="127"/>
      <c r="AH229" s="196"/>
      <c r="AI229" s="189"/>
      <c r="AJ229" s="188">
        <f>+AE229</f>
        <v>19170000</v>
      </c>
      <c r="AK229" s="188"/>
      <c r="AL229" s="189"/>
      <c r="AM229" s="188"/>
      <c r="AN229" s="188"/>
      <c r="AO229" s="183"/>
      <c r="AP229" s="183"/>
      <c r="AQ229" s="183"/>
      <c r="AR229" s="183"/>
      <c r="AS229" s="273"/>
      <c r="AT229" s="156"/>
      <c r="AU229" s="157">
        <f t="shared" si="28"/>
        <v>19170000</v>
      </c>
    </row>
    <row r="230" spans="2:47" hidden="1" x14ac:dyDescent="0.25">
      <c r="B230" s="83"/>
      <c r="C230" s="82"/>
      <c r="D230" s="82"/>
      <c r="E230" s="82"/>
      <c r="F230" s="82"/>
      <c r="G230" s="53"/>
      <c r="H230" s="321" t="s">
        <v>282</v>
      </c>
      <c r="I230" s="54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48"/>
      <c r="AD230" s="49"/>
      <c r="AE230" s="74">
        <f>3000000+240000+210000+198000+522000</f>
        <v>4170000</v>
      </c>
      <c r="AF230" s="127">
        <f t="shared" si="27"/>
        <v>3.1602892452837088E-2</v>
      </c>
      <c r="AG230" s="127"/>
      <c r="AH230" s="196"/>
      <c r="AI230" s="189"/>
      <c r="AJ230" s="188"/>
      <c r="AK230" s="188">
        <f>+AE230</f>
        <v>4170000</v>
      </c>
      <c r="AL230" s="189"/>
      <c r="AM230" s="188"/>
      <c r="AN230" s="188"/>
      <c r="AO230" s="183"/>
      <c r="AP230" s="183"/>
      <c r="AQ230" s="183"/>
      <c r="AR230" s="183"/>
      <c r="AS230" s="273"/>
      <c r="AT230" s="156"/>
      <c r="AU230" s="157">
        <f t="shared" si="28"/>
        <v>4170000</v>
      </c>
    </row>
    <row r="231" spans="2:47" hidden="1" x14ac:dyDescent="0.25">
      <c r="B231" s="83"/>
      <c r="C231" s="82"/>
      <c r="D231" s="82"/>
      <c r="E231" s="82"/>
      <c r="F231" s="82"/>
      <c r="G231" s="53"/>
      <c r="H231" s="321" t="s">
        <v>279</v>
      </c>
      <c r="I231" s="54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48"/>
      <c r="AD231" s="49"/>
      <c r="AE231" s="74">
        <f>3500000+240000+210000+198000+522000+2400000+2400000+200000+250000+250000</f>
        <v>10170000</v>
      </c>
      <c r="AF231" s="127">
        <f t="shared" si="27"/>
        <v>7.7074680154760947E-2</v>
      </c>
      <c r="AG231" s="127"/>
      <c r="AH231" s="196"/>
      <c r="AI231" s="189"/>
      <c r="AJ231" s="188"/>
      <c r="AK231" s="188">
        <f>+AE231</f>
        <v>10170000</v>
      </c>
      <c r="AL231" s="189"/>
      <c r="AM231" s="188"/>
      <c r="AN231" s="188"/>
      <c r="AO231" s="183"/>
      <c r="AP231" s="183"/>
      <c r="AQ231" s="183"/>
      <c r="AR231" s="183"/>
      <c r="AS231" s="273"/>
      <c r="AT231" s="156"/>
      <c r="AU231" s="157">
        <f t="shared" si="28"/>
        <v>10170000</v>
      </c>
    </row>
    <row r="232" spans="2:47" hidden="1" x14ac:dyDescent="0.25">
      <c r="B232" s="83"/>
      <c r="C232" s="82"/>
      <c r="D232" s="82"/>
      <c r="E232" s="82"/>
      <c r="F232" s="82"/>
      <c r="G232" s="53"/>
      <c r="H232" s="321" t="s">
        <v>280</v>
      </c>
      <c r="I232" s="54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48"/>
      <c r="AD232" s="49"/>
      <c r="AE232" s="74">
        <f>5000000+240000+210000+198000+522000+6000000+1200000+200000+250000+250000</f>
        <v>14070000</v>
      </c>
      <c r="AF232" s="127">
        <f t="shared" si="27"/>
        <v>0.10663134216101146</v>
      </c>
      <c r="AG232" s="127"/>
      <c r="AH232" s="196"/>
      <c r="AI232" s="189"/>
      <c r="AJ232" s="188"/>
      <c r="AK232" s="188"/>
      <c r="AL232" s="189"/>
      <c r="AM232" s="188"/>
      <c r="AN232" s="188">
        <f>+AE232</f>
        <v>14070000</v>
      </c>
      <c r="AO232" s="183"/>
      <c r="AP232" s="183"/>
      <c r="AQ232" s="183"/>
      <c r="AR232" s="183"/>
      <c r="AS232" s="273"/>
      <c r="AT232" s="156"/>
      <c r="AU232" s="157">
        <f t="shared" si="28"/>
        <v>14070000</v>
      </c>
    </row>
    <row r="233" spans="2:47" hidden="1" x14ac:dyDescent="0.25">
      <c r="B233" s="83"/>
      <c r="C233" s="82"/>
      <c r="D233" s="82"/>
      <c r="E233" s="82"/>
      <c r="F233" s="82"/>
      <c r="G233" s="53"/>
      <c r="H233" s="321" t="s">
        <v>281</v>
      </c>
      <c r="I233" s="54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48"/>
      <c r="AD233" s="49"/>
      <c r="AE233" s="74">
        <f>12000000+240000+210000+198000+522000+10800000+600000+250000+750000+7200000</f>
        <v>32770000</v>
      </c>
      <c r="AF233" s="127">
        <f t="shared" si="27"/>
        <v>0.24835174716534089</v>
      </c>
      <c r="AG233" s="127"/>
      <c r="AH233" s="196"/>
      <c r="AI233" s="189"/>
      <c r="AJ233" s="188"/>
      <c r="AK233" s="188"/>
      <c r="AL233" s="189"/>
      <c r="AM233" s="188">
        <f>+AE233</f>
        <v>32770000</v>
      </c>
      <c r="AN233" s="188"/>
      <c r="AO233" s="183"/>
      <c r="AP233" s="183"/>
      <c r="AQ233" s="183"/>
      <c r="AR233" s="183"/>
      <c r="AS233" s="273"/>
      <c r="AT233" s="156"/>
      <c r="AU233" s="157">
        <f t="shared" si="28"/>
        <v>32770000</v>
      </c>
    </row>
    <row r="234" spans="2:47" hidden="1" x14ac:dyDescent="0.25">
      <c r="B234" s="83"/>
      <c r="C234" s="82"/>
      <c r="D234" s="82"/>
      <c r="E234" s="82"/>
      <c r="F234" s="82"/>
      <c r="G234" s="53"/>
      <c r="H234" s="320"/>
      <c r="I234" s="54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48"/>
      <c r="AD234" s="49"/>
      <c r="AE234" s="74"/>
      <c r="AF234" s="127"/>
      <c r="AG234" s="127"/>
      <c r="AH234" s="196"/>
      <c r="AI234" s="189"/>
      <c r="AJ234" s="188"/>
      <c r="AK234" s="188"/>
      <c r="AL234" s="189"/>
      <c r="AM234" s="188"/>
      <c r="AN234" s="188"/>
      <c r="AO234" s="183"/>
      <c r="AP234" s="183"/>
      <c r="AQ234" s="183"/>
      <c r="AR234" s="183"/>
      <c r="AS234" s="273"/>
      <c r="AT234" s="156"/>
      <c r="AU234" s="157"/>
    </row>
    <row r="235" spans="2:47" hidden="1" x14ac:dyDescent="0.25">
      <c r="B235" s="83"/>
      <c r="C235" s="82"/>
      <c r="D235" s="82"/>
      <c r="E235" s="82"/>
      <c r="F235" s="82"/>
      <c r="G235" s="53" t="s">
        <v>43</v>
      </c>
      <c r="H235" s="101" t="s">
        <v>176</v>
      </c>
      <c r="I235" s="54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48"/>
      <c r="AD235" s="49"/>
      <c r="AE235" s="74">
        <v>8244000</v>
      </c>
      <c r="AF235" s="127">
        <f t="shared" si="27"/>
        <v>6.2478236302443389E-2</v>
      </c>
      <c r="AG235" s="127"/>
      <c r="AH235" s="196"/>
      <c r="AI235" s="189"/>
      <c r="AJ235" s="188"/>
      <c r="AK235" s="188"/>
      <c r="AL235" s="189"/>
      <c r="AM235" s="188"/>
      <c r="AN235" s="188"/>
      <c r="AP235" s="183">
        <f>+AE235</f>
        <v>8244000</v>
      </c>
      <c r="AQ235" s="183"/>
      <c r="AR235" s="183"/>
      <c r="AS235" s="273"/>
      <c r="AT235" s="156"/>
      <c r="AU235" s="157">
        <f t="shared" si="28"/>
        <v>8244000</v>
      </c>
    </row>
    <row r="236" spans="2:47" hidden="1" x14ac:dyDescent="0.25">
      <c r="B236" s="83"/>
      <c r="C236" s="82"/>
      <c r="D236" s="82"/>
      <c r="E236" s="82"/>
      <c r="F236" s="82"/>
      <c r="G236" s="53" t="s">
        <v>44</v>
      </c>
      <c r="H236" s="101" t="s">
        <v>177</v>
      </c>
      <c r="I236" s="54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48"/>
      <c r="AD236" s="49"/>
      <c r="AE236" s="74">
        <v>3020000</v>
      </c>
      <c r="AF236" s="127">
        <f t="shared" si="27"/>
        <v>2.2887466476635011E-2</v>
      </c>
      <c r="AG236" s="127"/>
      <c r="AH236" s="196"/>
      <c r="AI236" s="189"/>
      <c r="AJ236" s="188"/>
      <c r="AK236" s="188"/>
      <c r="AL236" s="189"/>
      <c r="AM236" s="188">
        <f>+AE236</f>
        <v>3020000</v>
      </c>
      <c r="AO236" s="183"/>
      <c r="AP236" s="183"/>
      <c r="AQ236" s="183"/>
      <c r="AR236" s="183"/>
      <c r="AS236" s="273"/>
      <c r="AT236" s="156"/>
      <c r="AU236" s="157">
        <f t="shared" si="28"/>
        <v>3020000</v>
      </c>
    </row>
    <row r="237" spans="2:47" hidden="1" x14ac:dyDescent="0.25">
      <c r="B237" s="83"/>
      <c r="C237" s="82"/>
      <c r="D237" s="82"/>
      <c r="E237" s="82"/>
      <c r="F237" s="82"/>
      <c r="G237" s="53"/>
      <c r="H237" s="54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48"/>
      <c r="AD237" s="49"/>
      <c r="AE237" s="74"/>
      <c r="AF237" s="127"/>
      <c r="AG237" s="127"/>
      <c r="AH237" s="196"/>
      <c r="AI237" s="189"/>
      <c r="AJ237" s="188"/>
      <c r="AK237" s="188"/>
      <c r="AL237" s="189"/>
      <c r="AM237" s="188"/>
      <c r="AN237" s="188"/>
      <c r="AO237" s="183"/>
      <c r="AP237" s="183"/>
      <c r="AQ237" s="183"/>
      <c r="AR237" s="183"/>
      <c r="AS237" s="273"/>
      <c r="AT237" s="156"/>
      <c r="AU237" s="157">
        <f t="shared" si="28"/>
        <v>0</v>
      </c>
    </row>
    <row r="238" spans="2:47" hidden="1" x14ac:dyDescent="0.25">
      <c r="B238" s="83">
        <v>5</v>
      </c>
      <c r="C238" s="82">
        <v>2</v>
      </c>
      <c r="D238" s="82">
        <v>1</v>
      </c>
      <c r="E238" s="84" t="s">
        <v>5</v>
      </c>
      <c r="F238" s="84" t="s">
        <v>10</v>
      </c>
      <c r="G238" s="57" t="s">
        <v>178</v>
      </c>
      <c r="H238" s="58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48"/>
      <c r="AD238" s="49"/>
      <c r="AE238" s="34">
        <f>+AE239+AE241+AE243</f>
        <v>6660000</v>
      </c>
      <c r="AF238" s="127">
        <f>(AE238/AE$13)*100</f>
        <v>5.0473684349135496E-2</v>
      </c>
      <c r="AG238" s="127"/>
      <c r="AH238" s="196"/>
      <c r="AI238" s="189"/>
      <c r="AJ238" s="188"/>
      <c r="AK238" s="188"/>
      <c r="AL238" s="189"/>
      <c r="AM238" s="188"/>
      <c r="AN238" s="188"/>
      <c r="AO238" s="183"/>
      <c r="AP238" s="183"/>
      <c r="AQ238" s="183"/>
      <c r="AR238" s="183"/>
      <c r="AS238" s="273"/>
      <c r="AT238" s="156"/>
      <c r="AU238" s="157">
        <f t="shared" si="28"/>
        <v>0</v>
      </c>
    </row>
    <row r="239" spans="2:47" hidden="1" x14ac:dyDescent="0.25">
      <c r="B239" s="83"/>
      <c r="C239" s="82"/>
      <c r="D239" s="82"/>
      <c r="E239" s="82"/>
      <c r="F239" s="82"/>
      <c r="G239" s="53" t="s">
        <v>37</v>
      </c>
      <c r="H239" s="54" t="s">
        <v>179</v>
      </c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50"/>
      <c r="AD239" s="51"/>
      <c r="AE239" s="74">
        <v>1980000</v>
      </c>
      <c r="AF239" s="127">
        <f>(AE239/AE$13)*100</f>
        <v>1.5005689941634877E-2</v>
      </c>
      <c r="AG239" s="127"/>
      <c r="AH239" s="196"/>
      <c r="AI239" s="189"/>
      <c r="AJ239" s="188">
        <f>+AE239</f>
        <v>1980000</v>
      </c>
      <c r="AL239" s="189"/>
      <c r="AM239" s="188"/>
      <c r="AN239" s="188"/>
      <c r="AO239" s="183"/>
      <c r="AP239" s="183"/>
      <c r="AQ239" s="183"/>
      <c r="AR239" s="183"/>
      <c r="AS239" s="273"/>
      <c r="AT239" s="156"/>
      <c r="AU239" s="157">
        <f t="shared" si="28"/>
        <v>1980000</v>
      </c>
    </row>
    <row r="240" spans="2:47" hidden="1" x14ac:dyDescent="0.25">
      <c r="B240" s="160">
        <v>5</v>
      </c>
      <c r="C240" s="161">
        <v>2</v>
      </c>
      <c r="D240" s="161">
        <v>1</v>
      </c>
      <c r="E240" s="162" t="s">
        <v>5</v>
      </c>
      <c r="F240" s="162" t="s">
        <v>52</v>
      </c>
      <c r="G240" s="163" t="s">
        <v>180</v>
      </c>
      <c r="H240" s="163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8"/>
      <c r="AD240" s="169"/>
      <c r="AE240" s="165">
        <f>+AE241</f>
        <v>1980000</v>
      </c>
      <c r="AF240" s="166">
        <f>(AE240/AE$13)*100</f>
        <v>1.5005689941634877E-2</v>
      </c>
      <c r="AG240" s="166"/>
      <c r="AH240" s="196"/>
      <c r="AI240" s="189"/>
      <c r="AJ240" s="188"/>
      <c r="AK240" s="188"/>
      <c r="AL240" s="189"/>
      <c r="AM240" s="188"/>
      <c r="AN240" s="188"/>
      <c r="AO240" s="183"/>
      <c r="AP240" s="183"/>
      <c r="AQ240" s="183"/>
      <c r="AR240" s="183"/>
      <c r="AS240" s="273"/>
      <c r="AT240" s="156"/>
      <c r="AU240" s="157">
        <f t="shared" si="28"/>
        <v>0</v>
      </c>
    </row>
    <row r="241" spans="2:47" hidden="1" x14ac:dyDescent="0.25">
      <c r="B241" s="83"/>
      <c r="C241" s="82"/>
      <c r="D241" s="82"/>
      <c r="E241" s="82"/>
      <c r="F241" s="82"/>
      <c r="G241" s="105" t="s">
        <v>37</v>
      </c>
      <c r="H241" s="106" t="s">
        <v>181</v>
      </c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319"/>
      <c r="T241" s="319" t="s">
        <v>266</v>
      </c>
      <c r="U241" s="319"/>
      <c r="V241" s="319"/>
      <c r="W241" s="319"/>
      <c r="X241" s="319"/>
      <c r="Y241" s="319"/>
      <c r="Z241" s="319"/>
      <c r="AA241" s="319"/>
      <c r="AB241" s="319"/>
      <c r="AC241" s="319"/>
      <c r="AD241" s="107"/>
      <c r="AE241" s="74">
        <v>1980000</v>
      </c>
      <c r="AF241" s="127">
        <f>(AE241/AE$13)*100</f>
        <v>1.5005689941634877E-2</v>
      </c>
      <c r="AG241" s="127"/>
      <c r="AH241" s="196"/>
      <c r="AI241" s="189"/>
      <c r="AJ241" s="188"/>
      <c r="AK241" s="188"/>
      <c r="AL241" s="189"/>
      <c r="AM241" s="188"/>
      <c r="AN241" s="188"/>
      <c r="AO241" s="183">
        <f>+AE241</f>
        <v>1980000</v>
      </c>
      <c r="AP241" s="183"/>
      <c r="AQ241" s="183"/>
      <c r="AR241" s="183"/>
      <c r="AS241" s="273"/>
      <c r="AT241" s="156"/>
      <c r="AU241" s="157">
        <f t="shared" si="28"/>
        <v>1980000</v>
      </c>
    </row>
    <row r="242" spans="2:47" hidden="1" x14ac:dyDescent="0.25">
      <c r="B242" s="83"/>
      <c r="C242" s="82"/>
      <c r="D242" s="82"/>
      <c r="E242" s="82"/>
      <c r="F242" s="82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7"/>
      <c r="AE242" s="74"/>
      <c r="AF242" s="127"/>
      <c r="AG242" s="127"/>
      <c r="AH242" s="196"/>
      <c r="AI242" s="189"/>
      <c r="AJ242" s="188"/>
      <c r="AK242" s="188"/>
      <c r="AL242" s="189"/>
      <c r="AM242" s="188"/>
      <c r="AN242" s="188"/>
      <c r="AO242" s="183"/>
      <c r="AP242" s="183"/>
      <c r="AQ242" s="183"/>
      <c r="AR242" s="183"/>
      <c r="AS242" s="273"/>
      <c r="AT242" s="156"/>
      <c r="AU242" s="157">
        <f t="shared" si="28"/>
        <v>0</v>
      </c>
    </row>
    <row r="243" spans="2:47" hidden="1" x14ac:dyDescent="0.25">
      <c r="B243" s="83"/>
      <c r="C243" s="82"/>
      <c r="D243" s="82"/>
      <c r="E243" s="82"/>
      <c r="F243" s="82"/>
      <c r="G243" s="167" t="s">
        <v>37</v>
      </c>
      <c r="H243" s="137" t="s">
        <v>182</v>
      </c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319"/>
      <c r="T243" s="319" t="s">
        <v>267</v>
      </c>
      <c r="U243" s="319"/>
      <c r="V243" s="319"/>
      <c r="W243" s="319"/>
      <c r="X243" s="319"/>
      <c r="Y243" s="319"/>
      <c r="Z243" s="319"/>
      <c r="AA243" s="319"/>
      <c r="AB243" s="319"/>
      <c r="AC243" s="319"/>
      <c r="AD243" s="107"/>
      <c r="AE243" s="74">
        <v>2700000</v>
      </c>
      <c r="AF243" s="127">
        <f>(AE243/AE$13)*100</f>
        <v>2.0462304465865742E-2</v>
      </c>
      <c r="AG243" s="127"/>
      <c r="AH243" s="196"/>
      <c r="AI243" s="189"/>
      <c r="AJ243" s="188"/>
      <c r="AK243" s="188"/>
      <c r="AM243" s="188"/>
      <c r="AN243" s="188"/>
      <c r="AO243" s="183"/>
      <c r="AP243" s="183"/>
      <c r="AQ243" s="183"/>
      <c r="AR243" s="189">
        <f>+AE243</f>
        <v>2700000</v>
      </c>
      <c r="AS243" s="273"/>
      <c r="AT243" s="156"/>
      <c r="AU243" s="157">
        <f t="shared" si="28"/>
        <v>2700000</v>
      </c>
    </row>
    <row r="244" spans="2:47" hidden="1" x14ac:dyDescent="0.25">
      <c r="B244" s="83"/>
      <c r="C244" s="82"/>
      <c r="D244" s="82"/>
      <c r="E244" s="82"/>
      <c r="F244" s="82"/>
      <c r="G244" s="54"/>
      <c r="H244" s="54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50"/>
      <c r="AD244" s="51"/>
      <c r="AE244" s="74"/>
      <c r="AF244" s="127"/>
      <c r="AG244" s="127"/>
      <c r="AH244" s="196"/>
      <c r="AI244" s="189"/>
      <c r="AJ244" s="188"/>
      <c r="AK244" s="188"/>
      <c r="AL244" s="189"/>
      <c r="AM244" s="188"/>
      <c r="AN244" s="188"/>
      <c r="AO244" s="183"/>
      <c r="AP244" s="183"/>
      <c r="AQ244" s="183"/>
      <c r="AR244" s="183"/>
      <c r="AS244" s="273"/>
      <c r="AT244" s="156"/>
      <c r="AU244" s="157">
        <f t="shared" si="28"/>
        <v>0</v>
      </c>
    </row>
    <row r="245" spans="2:47" hidden="1" x14ac:dyDescent="0.25">
      <c r="B245" s="83">
        <v>5</v>
      </c>
      <c r="C245" s="82">
        <v>2</v>
      </c>
      <c r="D245" s="82">
        <v>2</v>
      </c>
      <c r="E245" s="82" t="s">
        <v>33</v>
      </c>
      <c r="F245" s="82"/>
      <c r="G245" s="57" t="s">
        <v>11</v>
      </c>
      <c r="H245" s="58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50"/>
      <c r="AD245" s="51"/>
      <c r="AE245" s="34">
        <f>+AE246+AE255+AE259+AE263+AE269+AE301+AE305+AE308+AE315</f>
        <v>1495330100</v>
      </c>
      <c r="AF245" s="127">
        <f t="shared" ref="AF245:AF253" si="29">(AE245/AE$13)*100</f>
        <v>11.332555475249432</v>
      </c>
      <c r="AG245" s="127"/>
      <c r="AH245" s="196"/>
      <c r="AI245" s="189"/>
      <c r="AJ245" s="188"/>
      <c r="AK245" s="188"/>
      <c r="AL245" s="189"/>
      <c r="AM245" s="188"/>
      <c r="AN245" s="188"/>
      <c r="AO245" s="183"/>
      <c r="AP245" s="183"/>
      <c r="AQ245" s="183"/>
      <c r="AR245" s="183"/>
      <c r="AS245" s="273"/>
      <c r="AT245" s="156"/>
      <c r="AU245" s="157">
        <f t="shared" si="28"/>
        <v>0</v>
      </c>
    </row>
    <row r="246" spans="2:47" hidden="1" x14ac:dyDescent="0.25">
      <c r="B246" s="83">
        <v>5</v>
      </c>
      <c r="C246" s="82">
        <v>2</v>
      </c>
      <c r="D246" s="82">
        <v>2</v>
      </c>
      <c r="E246" s="84" t="s">
        <v>5</v>
      </c>
      <c r="F246" s="82"/>
      <c r="G246" s="57" t="s">
        <v>17</v>
      </c>
      <c r="H246" s="58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50"/>
      <c r="AD246" s="51"/>
      <c r="AE246" s="34">
        <f>+AE247+AE250</f>
        <v>302887600</v>
      </c>
      <c r="AF246" s="127">
        <f t="shared" si="29"/>
        <v>2.2954734407908726</v>
      </c>
      <c r="AG246" s="127"/>
      <c r="AH246" s="196"/>
      <c r="AI246" s="189"/>
      <c r="AJ246" s="188"/>
      <c r="AK246" s="188"/>
      <c r="AL246" s="189"/>
      <c r="AM246" s="188"/>
      <c r="AN246" s="188"/>
      <c r="AO246" s="183"/>
      <c r="AP246" s="183"/>
      <c r="AQ246" s="183"/>
      <c r="AR246" s="183"/>
      <c r="AS246" s="273"/>
      <c r="AT246" s="156"/>
      <c r="AU246" s="157">
        <f t="shared" si="28"/>
        <v>0</v>
      </c>
    </row>
    <row r="247" spans="2:47" hidden="1" x14ac:dyDescent="0.25">
      <c r="B247" s="83">
        <v>5</v>
      </c>
      <c r="C247" s="82">
        <v>2</v>
      </c>
      <c r="D247" s="82">
        <v>2</v>
      </c>
      <c r="E247" s="84" t="s">
        <v>5</v>
      </c>
      <c r="F247" s="84" t="s">
        <v>5</v>
      </c>
      <c r="G247" s="57" t="s">
        <v>38</v>
      </c>
      <c r="H247" s="58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50"/>
      <c r="AD247" s="51"/>
      <c r="AE247" s="74">
        <f>+AE248</f>
        <v>184387600</v>
      </c>
      <c r="AF247" s="127">
        <f t="shared" si="29"/>
        <v>1.3974056336778762</v>
      </c>
      <c r="AG247" s="127"/>
      <c r="AH247" s="196"/>
      <c r="AI247" s="189"/>
      <c r="AJ247" s="188"/>
      <c r="AK247" s="188"/>
      <c r="AL247" s="189"/>
      <c r="AM247" s="188"/>
      <c r="AN247" s="188"/>
      <c r="AO247" s="183"/>
      <c r="AP247" s="183"/>
      <c r="AQ247" s="183"/>
      <c r="AR247" s="183"/>
      <c r="AS247" s="273"/>
      <c r="AT247" s="156"/>
      <c r="AU247" s="157">
        <f t="shared" si="28"/>
        <v>0</v>
      </c>
    </row>
    <row r="248" spans="2:47" hidden="1" x14ac:dyDescent="0.25">
      <c r="B248" s="83"/>
      <c r="C248" s="82"/>
      <c r="D248" s="82"/>
      <c r="E248" s="84"/>
      <c r="F248" s="84"/>
      <c r="G248" s="95"/>
      <c r="H248" s="54" t="s">
        <v>183</v>
      </c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50"/>
      <c r="AD248" s="51"/>
      <c r="AE248" s="74">
        <v>184387600</v>
      </c>
      <c r="AF248" s="127">
        <f t="shared" si="29"/>
        <v>1.3974056336778762</v>
      </c>
      <c r="AG248" s="127"/>
      <c r="AH248" s="196"/>
      <c r="AI248" s="189">
        <f>+AE248/9</f>
        <v>20487511.111111112</v>
      </c>
      <c r="AJ248" s="188">
        <f>+AI248</f>
        <v>20487511.111111112</v>
      </c>
      <c r="AK248" s="188">
        <f t="shared" ref="AK248:AQ248" si="30">+AJ248</f>
        <v>20487511.111111112</v>
      </c>
      <c r="AL248" s="188">
        <f t="shared" si="30"/>
        <v>20487511.111111112</v>
      </c>
      <c r="AM248" s="188">
        <f t="shared" si="30"/>
        <v>20487511.111111112</v>
      </c>
      <c r="AN248" s="188">
        <f t="shared" si="30"/>
        <v>20487511.111111112</v>
      </c>
      <c r="AO248" s="188">
        <f t="shared" si="30"/>
        <v>20487511.111111112</v>
      </c>
      <c r="AP248" s="188">
        <f t="shared" si="30"/>
        <v>20487511.111111112</v>
      </c>
      <c r="AQ248" s="188">
        <f t="shared" si="30"/>
        <v>20487511.111111112</v>
      </c>
      <c r="AR248" s="183"/>
      <c r="AS248" s="273"/>
      <c r="AT248" s="156"/>
      <c r="AU248" s="157">
        <f t="shared" si="28"/>
        <v>184387599.99999997</v>
      </c>
    </row>
    <row r="249" spans="2:47" hidden="1" x14ac:dyDescent="0.25">
      <c r="B249" s="83"/>
      <c r="C249" s="82"/>
      <c r="D249" s="82"/>
      <c r="E249" s="82"/>
      <c r="F249" s="82"/>
      <c r="G249" s="95"/>
      <c r="H249" s="101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50"/>
      <c r="AD249" s="51"/>
      <c r="AE249" s="74"/>
      <c r="AF249" s="127">
        <f t="shared" si="29"/>
        <v>0</v>
      </c>
      <c r="AG249" s="127"/>
      <c r="AH249" s="196"/>
      <c r="AI249" s="189"/>
      <c r="AJ249" s="188"/>
      <c r="AK249" s="188"/>
      <c r="AL249" s="189"/>
      <c r="AM249" s="188"/>
      <c r="AN249" s="188"/>
      <c r="AO249" s="183"/>
      <c r="AP249" s="183"/>
      <c r="AQ249" s="183"/>
      <c r="AR249" s="183"/>
      <c r="AS249" s="273"/>
      <c r="AT249" s="156"/>
      <c r="AU249" s="157">
        <f t="shared" si="28"/>
        <v>0</v>
      </c>
    </row>
    <row r="250" spans="2:47" hidden="1" x14ac:dyDescent="0.25">
      <c r="B250" s="83">
        <v>5</v>
      </c>
      <c r="C250" s="82">
        <v>2</v>
      </c>
      <c r="D250" s="82">
        <v>2</v>
      </c>
      <c r="E250" s="84" t="s">
        <v>5</v>
      </c>
      <c r="F250" s="84" t="s">
        <v>184</v>
      </c>
      <c r="G250" s="57" t="s">
        <v>185</v>
      </c>
      <c r="H250" s="58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50"/>
      <c r="AD250" s="51"/>
      <c r="AE250" s="34">
        <f>+AE251+AE252+AE253+AE254</f>
        <v>118500000</v>
      </c>
      <c r="AF250" s="127">
        <f t="shared" si="29"/>
        <v>0.89806780711299639</v>
      </c>
      <c r="AG250" s="127"/>
      <c r="AH250" s="196"/>
      <c r="AI250" s="189"/>
      <c r="AJ250" s="188"/>
      <c r="AK250" s="188"/>
      <c r="AL250" s="189"/>
      <c r="AM250" s="188"/>
      <c r="AN250" s="188"/>
      <c r="AO250" s="183"/>
      <c r="AP250" s="183"/>
      <c r="AQ250" s="183"/>
      <c r="AR250" s="183"/>
      <c r="AS250" s="273"/>
      <c r="AT250" s="156"/>
      <c r="AU250" s="157">
        <f t="shared" si="28"/>
        <v>0</v>
      </c>
    </row>
    <row r="251" spans="2:47" hidden="1" x14ac:dyDescent="0.25">
      <c r="B251" s="83"/>
      <c r="C251" s="82"/>
      <c r="D251" s="82"/>
      <c r="E251" s="84"/>
      <c r="F251" s="84"/>
      <c r="G251" s="95" t="s">
        <v>37</v>
      </c>
      <c r="H251" s="54" t="s">
        <v>186</v>
      </c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50"/>
      <c r="AD251" s="51"/>
      <c r="AE251" s="74">
        <v>40000000</v>
      </c>
      <c r="AF251" s="127">
        <f t="shared" si="29"/>
        <v>0.30314525134615911</v>
      </c>
      <c r="AG251" s="127"/>
      <c r="AH251" s="196"/>
      <c r="AI251" s="189"/>
      <c r="AJ251" s="188"/>
      <c r="AK251" s="188"/>
      <c r="AL251" s="189"/>
      <c r="AM251" s="188">
        <f>+AE251</f>
        <v>40000000</v>
      </c>
      <c r="AN251" s="188"/>
      <c r="AO251" s="183"/>
      <c r="AP251" s="183"/>
      <c r="AQ251" s="183"/>
      <c r="AR251" s="183"/>
      <c r="AS251" s="273"/>
      <c r="AT251" s="156"/>
      <c r="AU251" s="157">
        <f t="shared" si="28"/>
        <v>40000000</v>
      </c>
    </row>
    <row r="252" spans="2:47" hidden="1" x14ac:dyDescent="0.25">
      <c r="B252" s="83"/>
      <c r="C252" s="82"/>
      <c r="D252" s="82"/>
      <c r="E252" s="82"/>
      <c r="F252" s="82"/>
      <c r="G252" s="95" t="s">
        <v>37</v>
      </c>
      <c r="H252" s="54" t="s">
        <v>187</v>
      </c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50"/>
      <c r="AD252" s="51"/>
      <c r="AE252" s="74">
        <v>40000000</v>
      </c>
      <c r="AF252" s="127">
        <f t="shared" si="29"/>
        <v>0.30314525134615911</v>
      </c>
      <c r="AG252" s="127"/>
      <c r="AH252" s="196"/>
      <c r="AI252" s="189"/>
      <c r="AJ252" s="188"/>
      <c r="AK252" s="188"/>
      <c r="AL252" s="189"/>
      <c r="AM252" s="188">
        <f>+AE252</f>
        <v>40000000</v>
      </c>
      <c r="AN252" s="188"/>
      <c r="AO252" s="183"/>
      <c r="AP252" s="183"/>
      <c r="AQ252" s="183"/>
      <c r="AR252" s="183"/>
      <c r="AS252" s="273"/>
      <c r="AT252" s="156"/>
      <c r="AU252" s="157">
        <f t="shared" si="28"/>
        <v>40000000</v>
      </c>
    </row>
    <row r="253" spans="2:47" hidden="1" x14ac:dyDescent="0.25">
      <c r="B253" s="83"/>
      <c r="C253" s="82"/>
      <c r="D253" s="82"/>
      <c r="E253" s="82"/>
      <c r="F253" s="82"/>
      <c r="G253" s="95" t="s">
        <v>37</v>
      </c>
      <c r="H253" s="54" t="s">
        <v>188</v>
      </c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50"/>
      <c r="AD253" s="51"/>
      <c r="AE253" s="74">
        <v>38500000</v>
      </c>
      <c r="AF253" s="127">
        <f t="shared" si="29"/>
        <v>0.29177730442067817</v>
      </c>
      <c r="AG253" s="127"/>
      <c r="AH253" s="196"/>
      <c r="AI253" s="189"/>
      <c r="AJ253" s="188"/>
      <c r="AK253" s="188"/>
      <c r="AL253" s="189"/>
      <c r="AM253" s="188"/>
      <c r="AN253" s="188"/>
      <c r="AO253" s="183"/>
      <c r="AP253" s="183">
        <f>+AE253</f>
        <v>38500000</v>
      </c>
      <c r="AQ253" s="183"/>
      <c r="AR253" s="183"/>
      <c r="AS253" s="273"/>
      <c r="AT253" s="156"/>
      <c r="AU253" s="157">
        <f t="shared" si="28"/>
        <v>38500000</v>
      </c>
    </row>
    <row r="254" spans="2:47" hidden="1" x14ac:dyDescent="0.25">
      <c r="B254" s="83"/>
      <c r="C254" s="82"/>
      <c r="D254" s="82"/>
      <c r="E254" s="82"/>
      <c r="F254" s="82"/>
      <c r="G254" s="91"/>
      <c r="H254" s="54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50"/>
      <c r="AD254" s="51"/>
      <c r="AE254" s="74"/>
      <c r="AF254" s="127"/>
      <c r="AG254" s="127"/>
      <c r="AH254" s="196"/>
      <c r="AI254" s="189"/>
      <c r="AJ254" s="188"/>
      <c r="AK254" s="188"/>
      <c r="AL254" s="189"/>
      <c r="AM254" s="188"/>
      <c r="AN254" s="188"/>
      <c r="AO254" s="183"/>
      <c r="AP254" s="183"/>
      <c r="AQ254" s="183"/>
      <c r="AR254" s="183"/>
      <c r="AS254" s="273"/>
      <c r="AT254" s="156"/>
      <c r="AU254" s="157">
        <f t="shared" si="28"/>
        <v>0</v>
      </c>
    </row>
    <row r="255" spans="2:47" hidden="1" x14ac:dyDescent="0.25">
      <c r="B255" s="83">
        <v>5</v>
      </c>
      <c r="C255" s="82">
        <v>2</v>
      </c>
      <c r="D255" s="82">
        <v>2</v>
      </c>
      <c r="E255" s="84" t="s">
        <v>10</v>
      </c>
      <c r="F255" s="82"/>
      <c r="G255" s="57" t="s">
        <v>47</v>
      </c>
      <c r="H255" s="58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50"/>
      <c r="AD255" s="51"/>
      <c r="AE255" s="34">
        <f>+AE256</f>
        <v>56850000</v>
      </c>
      <c r="AF255" s="127">
        <f t="shared" ref="AF255:AF261" si="31">(AE255/AE$13)*100</f>
        <v>0.43084518847572861</v>
      </c>
      <c r="AG255" s="127"/>
      <c r="AH255" s="196"/>
      <c r="AI255" s="189"/>
      <c r="AJ255" s="188"/>
      <c r="AK255" s="188"/>
      <c r="AL255" s="189"/>
      <c r="AM255" s="188"/>
      <c r="AN255" s="188"/>
      <c r="AO255" s="183"/>
      <c r="AP255" s="183"/>
      <c r="AQ255" s="183"/>
      <c r="AR255" s="183"/>
      <c r="AS255" s="273"/>
      <c r="AT255" s="156"/>
      <c r="AU255" s="157">
        <f t="shared" si="28"/>
        <v>0</v>
      </c>
    </row>
    <row r="256" spans="2:47" hidden="1" x14ac:dyDescent="0.25">
      <c r="B256" s="83">
        <v>5</v>
      </c>
      <c r="C256" s="82">
        <v>2</v>
      </c>
      <c r="D256" s="82">
        <v>2</v>
      </c>
      <c r="E256" s="84" t="s">
        <v>10</v>
      </c>
      <c r="F256" s="84" t="s">
        <v>12</v>
      </c>
      <c r="G256" s="57" t="s">
        <v>189</v>
      </c>
      <c r="H256" s="58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50"/>
      <c r="AD256" s="51"/>
      <c r="AE256" s="34">
        <f>+AE257</f>
        <v>56850000</v>
      </c>
      <c r="AF256" s="127">
        <f t="shared" si="31"/>
        <v>0.43084518847572861</v>
      </c>
      <c r="AG256" s="127"/>
      <c r="AH256" s="196"/>
      <c r="AI256" s="189"/>
      <c r="AJ256" s="188"/>
      <c r="AK256" s="188"/>
      <c r="AL256" s="189"/>
      <c r="AM256" s="188"/>
      <c r="AN256" s="188"/>
      <c r="AO256" s="183"/>
      <c r="AP256" s="183"/>
      <c r="AQ256" s="183"/>
      <c r="AR256" s="183"/>
      <c r="AS256" s="273"/>
      <c r="AT256" s="156"/>
      <c r="AU256" s="157">
        <f t="shared" si="28"/>
        <v>0</v>
      </c>
    </row>
    <row r="257" spans="2:47" hidden="1" x14ac:dyDescent="0.25">
      <c r="B257" s="83"/>
      <c r="C257" s="82"/>
      <c r="D257" s="82"/>
      <c r="E257" s="84"/>
      <c r="F257" s="84"/>
      <c r="G257" s="57" t="s">
        <v>37</v>
      </c>
      <c r="H257" s="54" t="s">
        <v>190</v>
      </c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50"/>
      <c r="AD257" s="51"/>
      <c r="AE257" s="74">
        <v>56850000</v>
      </c>
      <c r="AF257" s="127">
        <f t="shared" si="31"/>
        <v>0.43084518847572861</v>
      </c>
      <c r="AG257" s="127"/>
      <c r="AH257" s="196"/>
      <c r="AI257" s="189">
        <f>+AE257/9</f>
        <v>6316666.666666667</v>
      </c>
      <c r="AJ257" s="188">
        <f>+AI257</f>
        <v>6316666.666666667</v>
      </c>
      <c r="AK257" s="188">
        <f t="shared" ref="AK257:AQ257" si="32">+AJ257</f>
        <v>6316666.666666667</v>
      </c>
      <c r="AL257" s="188">
        <f t="shared" si="32"/>
        <v>6316666.666666667</v>
      </c>
      <c r="AM257" s="188">
        <f t="shared" si="32"/>
        <v>6316666.666666667</v>
      </c>
      <c r="AN257" s="188">
        <f t="shared" si="32"/>
        <v>6316666.666666667</v>
      </c>
      <c r="AO257" s="188">
        <f t="shared" si="32"/>
        <v>6316666.666666667</v>
      </c>
      <c r="AP257" s="188">
        <f t="shared" si="32"/>
        <v>6316666.666666667</v>
      </c>
      <c r="AQ257" s="188">
        <f t="shared" si="32"/>
        <v>6316666.666666667</v>
      </c>
      <c r="AR257" s="183"/>
      <c r="AS257" s="273"/>
      <c r="AT257" s="156"/>
      <c r="AU257" s="157">
        <f t="shared" si="28"/>
        <v>56849999.999999993</v>
      </c>
    </row>
    <row r="258" spans="2:47" hidden="1" x14ac:dyDescent="0.25">
      <c r="B258" s="83"/>
      <c r="C258" s="82"/>
      <c r="D258" s="82"/>
      <c r="E258" s="84"/>
      <c r="F258" s="84"/>
      <c r="G258" s="57"/>
      <c r="H258" s="54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50"/>
      <c r="AD258" s="51"/>
      <c r="AE258" s="74"/>
      <c r="AF258" s="127"/>
      <c r="AG258" s="127"/>
      <c r="AH258" s="196"/>
      <c r="AI258" s="189"/>
      <c r="AJ258" s="188"/>
      <c r="AK258" s="188"/>
      <c r="AL258" s="189"/>
      <c r="AM258" s="188"/>
      <c r="AN258" s="188"/>
      <c r="AO258" s="183"/>
      <c r="AP258" s="183"/>
      <c r="AQ258" s="183"/>
      <c r="AR258" s="183"/>
      <c r="AS258" s="273"/>
      <c r="AT258" s="156"/>
      <c r="AU258" s="157">
        <f t="shared" si="28"/>
        <v>0</v>
      </c>
    </row>
    <row r="259" spans="2:47" hidden="1" x14ac:dyDescent="0.25">
      <c r="B259" s="83">
        <v>5</v>
      </c>
      <c r="C259" s="82">
        <v>2</v>
      </c>
      <c r="D259" s="82">
        <v>2</v>
      </c>
      <c r="E259" s="84" t="s">
        <v>52</v>
      </c>
      <c r="F259" s="82"/>
      <c r="G259" s="57" t="s">
        <v>191</v>
      </c>
      <c r="H259" s="58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50"/>
      <c r="AD259" s="51"/>
      <c r="AE259" s="34">
        <f>+AE260</f>
        <v>254820000</v>
      </c>
      <c r="AF259" s="127">
        <f t="shared" si="31"/>
        <v>1.9311868237007066</v>
      </c>
      <c r="AG259" s="127"/>
      <c r="AH259" s="196"/>
      <c r="AI259" s="189"/>
      <c r="AJ259" s="188"/>
      <c r="AK259" s="188"/>
      <c r="AL259" s="189"/>
      <c r="AM259" s="188"/>
      <c r="AN259" s="188"/>
      <c r="AO259" s="183"/>
      <c r="AP259" s="183"/>
      <c r="AQ259" s="183"/>
      <c r="AR259" s="183"/>
      <c r="AS259" s="273"/>
      <c r="AT259" s="156"/>
      <c r="AU259" s="157">
        <f t="shared" si="28"/>
        <v>0</v>
      </c>
    </row>
    <row r="260" spans="2:47" hidden="1" x14ac:dyDescent="0.25">
      <c r="B260" s="83">
        <v>5</v>
      </c>
      <c r="C260" s="82">
        <v>2</v>
      </c>
      <c r="D260" s="82">
        <v>2</v>
      </c>
      <c r="E260" s="84" t="s">
        <v>52</v>
      </c>
      <c r="F260" s="84">
        <v>29</v>
      </c>
      <c r="G260" s="57" t="s">
        <v>192</v>
      </c>
      <c r="H260" s="58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50"/>
      <c r="AD260" s="51"/>
      <c r="AE260" s="34">
        <f>+AE261</f>
        <v>254820000</v>
      </c>
      <c r="AF260" s="127">
        <f t="shared" si="31"/>
        <v>1.9311868237007066</v>
      </c>
      <c r="AG260" s="127"/>
      <c r="AH260" s="196"/>
      <c r="AI260" s="189"/>
      <c r="AJ260" s="188"/>
      <c r="AK260" s="188"/>
      <c r="AL260" s="189"/>
      <c r="AM260" s="188"/>
      <c r="AN260" s="188"/>
      <c r="AO260" s="183"/>
      <c r="AP260" s="183"/>
      <c r="AQ260" s="183"/>
      <c r="AR260" s="183"/>
      <c r="AS260" s="273"/>
      <c r="AT260" s="156"/>
      <c r="AU260" s="157">
        <f t="shared" si="28"/>
        <v>0</v>
      </c>
    </row>
    <row r="261" spans="2:47" hidden="1" x14ac:dyDescent="0.25">
      <c r="B261" s="83"/>
      <c r="C261" s="82"/>
      <c r="D261" s="82"/>
      <c r="E261" s="84"/>
      <c r="F261" s="84"/>
      <c r="G261" s="57" t="s">
        <v>37</v>
      </c>
      <c r="H261" s="54" t="s">
        <v>193</v>
      </c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50"/>
      <c r="AD261" s="51"/>
      <c r="AE261" s="74">
        <v>254820000</v>
      </c>
      <c r="AF261" s="127">
        <f t="shared" si="31"/>
        <v>1.9311868237007066</v>
      </c>
      <c r="AG261" s="127"/>
      <c r="AH261" s="196"/>
      <c r="AI261" s="189">
        <f>+AE261/10</f>
        <v>25482000</v>
      </c>
      <c r="AJ261" s="188">
        <f>+AI261</f>
        <v>25482000</v>
      </c>
      <c r="AK261" s="188">
        <f t="shared" ref="AK261:AR261" si="33">+AJ261</f>
        <v>25482000</v>
      </c>
      <c r="AL261" s="188">
        <f t="shared" si="33"/>
        <v>25482000</v>
      </c>
      <c r="AM261" s="188">
        <f t="shared" si="33"/>
        <v>25482000</v>
      </c>
      <c r="AN261" s="188">
        <f t="shared" si="33"/>
        <v>25482000</v>
      </c>
      <c r="AO261" s="188">
        <f t="shared" si="33"/>
        <v>25482000</v>
      </c>
      <c r="AP261" s="188">
        <f t="shared" si="33"/>
        <v>25482000</v>
      </c>
      <c r="AQ261" s="188">
        <f t="shared" si="33"/>
        <v>25482000</v>
      </c>
      <c r="AR261" s="188">
        <f t="shared" si="33"/>
        <v>25482000</v>
      </c>
      <c r="AS261" s="273"/>
      <c r="AT261" s="156"/>
      <c r="AU261" s="157">
        <f t="shared" si="28"/>
        <v>254820000</v>
      </c>
    </row>
    <row r="262" spans="2:47" hidden="1" x14ac:dyDescent="0.25">
      <c r="B262" s="83"/>
      <c r="C262" s="82"/>
      <c r="D262" s="82"/>
      <c r="E262" s="82"/>
      <c r="F262" s="82"/>
      <c r="G262" s="92"/>
      <c r="H262" s="54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48"/>
      <c r="AD262" s="49"/>
      <c r="AE262" s="74"/>
      <c r="AF262" s="127"/>
      <c r="AG262" s="127"/>
      <c r="AH262" s="196"/>
      <c r="AI262" s="189"/>
      <c r="AJ262" s="188"/>
      <c r="AK262" s="188"/>
      <c r="AL262" s="189"/>
      <c r="AM262" s="188"/>
      <c r="AN262" s="188"/>
      <c r="AO262" s="183"/>
      <c r="AP262" s="183"/>
      <c r="AQ262" s="183"/>
      <c r="AR262" s="183"/>
      <c r="AS262" s="273"/>
      <c r="AT262" s="156"/>
      <c r="AU262" s="157">
        <f t="shared" si="28"/>
        <v>0</v>
      </c>
    </row>
    <row r="263" spans="2:47" hidden="1" x14ac:dyDescent="0.25">
      <c r="B263" s="83">
        <v>5</v>
      </c>
      <c r="C263" s="82">
        <v>2</v>
      </c>
      <c r="D263" s="82">
        <v>2</v>
      </c>
      <c r="E263" s="84" t="s">
        <v>12</v>
      </c>
      <c r="F263" s="82"/>
      <c r="G263" s="57" t="s">
        <v>16</v>
      </c>
      <c r="H263" s="58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48"/>
      <c r="AD263" s="49"/>
      <c r="AE263" s="34">
        <f>+AE264+AE266</f>
        <v>64140000</v>
      </c>
      <c r="AF263" s="127">
        <f>(AE263/AE$13)*100</f>
        <v>0.48609341053356614</v>
      </c>
      <c r="AG263" s="127"/>
      <c r="AH263" s="196"/>
      <c r="AI263" s="189"/>
      <c r="AJ263" s="188"/>
      <c r="AK263" s="188"/>
      <c r="AL263" s="189"/>
      <c r="AM263" s="188"/>
      <c r="AN263" s="188"/>
      <c r="AO263" s="183"/>
      <c r="AP263" s="183"/>
      <c r="AQ263" s="183"/>
      <c r="AR263" s="183"/>
      <c r="AS263" s="273"/>
      <c r="AT263" s="156"/>
      <c r="AU263" s="157">
        <f t="shared" si="28"/>
        <v>0</v>
      </c>
    </row>
    <row r="264" spans="2:47" hidden="1" x14ac:dyDescent="0.25">
      <c r="B264" s="83">
        <v>5</v>
      </c>
      <c r="C264" s="82">
        <v>2</v>
      </c>
      <c r="D264" s="82">
        <v>2</v>
      </c>
      <c r="E264" s="84" t="s">
        <v>12</v>
      </c>
      <c r="F264" s="84" t="s">
        <v>5</v>
      </c>
      <c r="G264" s="57" t="s">
        <v>194</v>
      </c>
      <c r="H264" s="58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48"/>
      <c r="AD264" s="49"/>
      <c r="AE264" s="34">
        <f>+AE265</f>
        <v>33640000</v>
      </c>
      <c r="AF264" s="127">
        <f>(AE264/AE$13)*100</f>
        <v>0.25494515638211984</v>
      </c>
      <c r="AG264" s="127"/>
      <c r="AH264" s="196"/>
      <c r="AI264" s="189"/>
      <c r="AJ264" s="188"/>
      <c r="AK264" s="188"/>
      <c r="AL264" s="189"/>
      <c r="AM264" s="188"/>
      <c r="AN264" s="188"/>
      <c r="AO264" s="183"/>
      <c r="AP264" s="183"/>
      <c r="AQ264" s="183"/>
      <c r="AR264" s="183"/>
      <c r="AS264" s="273"/>
      <c r="AT264" s="156"/>
      <c r="AU264" s="157">
        <f t="shared" si="28"/>
        <v>0</v>
      </c>
    </row>
    <row r="265" spans="2:47" hidden="1" x14ac:dyDescent="0.25">
      <c r="B265" s="83"/>
      <c r="C265" s="82"/>
      <c r="D265" s="82"/>
      <c r="E265" s="84"/>
      <c r="F265" s="84"/>
      <c r="G265" s="96" t="s">
        <v>37</v>
      </c>
      <c r="H265" s="54" t="s">
        <v>183</v>
      </c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48"/>
      <c r="AD265" s="49"/>
      <c r="AE265" s="74">
        <v>33640000</v>
      </c>
      <c r="AF265" s="127">
        <f>(AE265/AE$13)*100</f>
        <v>0.25494515638211984</v>
      </c>
      <c r="AG265" s="127"/>
      <c r="AH265" s="196"/>
      <c r="AI265" s="189">
        <f>+AE265/9</f>
        <v>3737777.777777778</v>
      </c>
      <c r="AJ265" s="188">
        <f>+AI265</f>
        <v>3737777.777777778</v>
      </c>
      <c r="AK265" s="188">
        <f t="shared" ref="AK265:AQ265" si="34">+AJ265</f>
        <v>3737777.777777778</v>
      </c>
      <c r="AL265" s="188">
        <f t="shared" si="34"/>
        <v>3737777.777777778</v>
      </c>
      <c r="AM265" s="188">
        <f t="shared" si="34"/>
        <v>3737777.777777778</v>
      </c>
      <c r="AN265" s="188">
        <f t="shared" si="34"/>
        <v>3737777.777777778</v>
      </c>
      <c r="AO265" s="188">
        <f t="shared" si="34"/>
        <v>3737777.777777778</v>
      </c>
      <c r="AP265" s="188">
        <f t="shared" si="34"/>
        <v>3737777.777777778</v>
      </c>
      <c r="AQ265" s="188">
        <f t="shared" si="34"/>
        <v>3737777.777777778</v>
      </c>
      <c r="AR265" s="183"/>
      <c r="AS265" s="273"/>
      <c r="AT265" s="156"/>
      <c r="AU265" s="157">
        <f t="shared" si="28"/>
        <v>33639999.999999993</v>
      </c>
    </row>
    <row r="266" spans="2:47" hidden="1" x14ac:dyDescent="0.25">
      <c r="B266" s="83">
        <v>5</v>
      </c>
      <c r="C266" s="82">
        <v>2</v>
      </c>
      <c r="D266" s="82">
        <v>2</v>
      </c>
      <c r="E266" s="84" t="s">
        <v>12</v>
      </c>
      <c r="F266" s="84" t="s">
        <v>10</v>
      </c>
      <c r="G266" s="57" t="s">
        <v>88</v>
      </c>
      <c r="H266" s="58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48"/>
      <c r="AD266" s="49"/>
      <c r="AE266" s="34">
        <f>+AE267</f>
        <v>30500000</v>
      </c>
      <c r="AF266" s="127">
        <f>(AE266/AE$13)*100</f>
        <v>0.23114825415144633</v>
      </c>
      <c r="AG266" s="127"/>
      <c r="AH266" s="196"/>
      <c r="AI266" s="189"/>
      <c r="AJ266" s="188"/>
      <c r="AK266" s="188"/>
      <c r="AL266" s="189"/>
      <c r="AM266" s="188"/>
      <c r="AN266" s="188"/>
      <c r="AO266" s="183"/>
      <c r="AP266" s="183"/>
      <c r="AQ266" s="183"/>
      <c r="AR266" s="183"/>
      <c r="AS266" s="273"/>
      <c r="AT266" s="156"/>
      <c r="AU266" s="157">
        <f t="shared" si="28"/>
        <v>0</v>
      </c>
    </row>
    <row r="267" spans="2:47" hidden="1" x14ac:dyDescent="0.25">
      <c r="B267" s="83"/>
      <c r="C267" s="82"/>
      <c r="D267" s="82"/>
      <c r="E267" s="84"/>
      <c r="F267" s="84"/>
      <c r="G267" s="96" t="s">
        <v>37</v>
      </c>
      <c r="H267" s="54" t="s">
        <v>183</v>
      </c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106"/>
      <c r="Z267" s="106"/>
      <c r="AA267" s="106"/>
      <c r="AB267" s="106"/>
      <c r="AC267" s="106"/>
      <c r="AD267" s="107"/>
      <c r="AE267" s="74">
        <v>30500000</v>
      </c>
      <c r="AF267" s="127">
        <f>(AE267/AE$13)*100</f>
        <v>0.23114825415144633</v>
      </c>
      <c r="AG267" s="127"/>
      <c r="AH267" s="196"/>
      <c r="AI267" s="189">
        <f>+AE267/9</f>
        <v>3388888.888888889</v>
      </c>
      <c r="AJ267" s="188">
        <f>+AI267</f>
        <v>3388888.888888889</v>
      </c>
      <c r="AK267" s="188">
        <f t="shared" ref="AK267:AQ267" si="35">+AJ267</f>
        <v>3388888.888888889</v>
      </c>
      <c r="AL267" s="188">
        <f t="shared" si="35"/>
        <v>3388888.888888889</v>
      </c>
      <c r="AM267" s="188">
        <f t="shared" si="35"/>
        <v>3388888.888888889</v>
      </c>
      <c r="AN267" s="188">
        <f t="shared" si="35"/>
        <v>3388888.888888889</v>
      </c>
      <c r="AO267" s="188">
        <f t="shared" si="35"/>
        <v>3388888.888888889</v>
      </c>
      <c r="AP267" s="188">
        <f t="shared" si="35"/>
        <v>3388888.888888889</v>
      </c>
      <c r="AQ267" s="188">
        <f t="shared" si="35"/>
        <v>3388888.888888889</v>
      </c>
      <c r="AR267" s="183"/>
      <c r="AS267" s="273"/>
      <c r="AT267" s="156"/>
      <c r="AU267" s="157">
        <f t="shared" si="28"/>
        <v>30499999.999999996</v>
      </c>
    </row>
    <row r="268" spans="2:47" hidden="1" x14ac:dyDescent="0.25">
      <c r="B268" s="83"/>
      <c r="C268" s="82"/>
      <c r="D268" s="82"/>
      <c r="E268" s="84"/>
      <c r="F268" s="84"/>
      <c r="G268" s="93"/>
      <c r="H268" s="94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48"/>
      <c r="AD268" s="49"/>
      <c r="AE268" s="74"/>
      <c r="AF268" s="127"/>
      <c r="AG268" s="127"/>
      <c r="AH268" s="196"/>
      <c r="AI268" s="189"/>
      <c r="AJ268" s="188"/>
      <c r="AK268" s="188"/>
      <c r="AL268" s="189"/>
      <c r="AM268" s="188"/>
      <c r="AN268" s="188"/>
      <c r="AO268" s="183"/>
      <c r="AP268" s="183"/>
      <c r="AQ268" s="183"/>
      <c r="AR268" s="183"/>
      <c r="AS268" s="273"/>
      <c r="AT268" s="156"/>
      <c r="AU268" s="157">
        <f t="shared" si="28"/>
        <v>0</v>
      </c>
    </row>
    <row r="269" spans="2:47" hidden="1" x14ac:dyDescent="0.25">
      <c r="B269" s="83">
        <v>5</v>
      </c>
      <c r="C269" s="82">
        <v>2</v>
      </c>
      <c r="D269" s="82">
        <v>2</v>
      </c>
      <c r="E269" s="84" t="s">
        <v>54</v>
      </c>
      <c r="F269" s="82"/>
      <c r="G269" s="57" t="s">
        <v>195</v>
      </c>
      <c r="H269" s="54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48"/>
      <c r="AD269" s="49"/>
      <c r="AE269" s="34">
        <f>+AE270+AE285</f>
        <v>190300000</v>
      </c>
      <c r="AF269" s="127">
        <f>(AE269/AE$13)*100</f>
        <v>1.442213533279352</v>
      </c>
      <c r="AG269" s="127"/>
      <c r="AH269" s="196"/>
      <c r="AI269" s="189"/>
      <c r="AJ269" s="188"/>
      <c r="AK269" s="188"/>
      <c r="AL269" s="189"/>
      <c r="AM269" s="188"/>
      <c r="AN269" s="188"/>
      <c r="AO269" s="183"/>
      <c r="AP269" s="183"/>
      <c r="AQ269" s="183"/>
      <c r="AR269" s="183"/>
      <c r="AS269" s="273"/>
      <c r="AT269" s="156"/>
      <c r="AU269" s="157">
        <f t="shared" si="28"/>
        <v>0</v>
      </c>
    </row>
    <row r="270" spans="2:47" hidden="1" x14ac:dyDescent="0.25">
      <c r="B270" s="83">
        <v>5</v>
      </c>
      <c r="C270" s="82">
        <v>2</v>
      </c>
      <c r="D270" s="82">
        <v>2</v>
      </c>
      <c r="E270" s="84" t="s">
        <v>54</v>
      </c>
      <c r="F270" s="84" t="s">
        <v>52</v>
      </c>
      <c r="G270" s="57" t="s">
        <v>61</v>
      </c>
      <c r="H270" s="58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48"/>
      <c r="AD270" s="49"/>
      <c r="AE270" s="74">
        <f>+AE271</f>
        <v>42500000</v>
      </c>
      <c r="AF270" s="127">
        <f>(AE270/AE$13)*100</f>
        <v>0.32209182955529408</v>
      </c>
      <c r="AG270" s="127"/>
      <c r="AH270" s="196"/>
      <c r="AI270" s="189"/>
      <c r="AJ270" s="188"/>
      <c r="AK270" s="188"/>
      <c r="AL270" s="189"/>
      <c r="AM270" s="188"/>
      <c r="AN270" s="188"/>
      <c r="AO270" s="183"/>
      <c r="AP270" s="183"/>
      <c r="AQ270" s="183"/>
      <c r="AR270" s="183"/>
      <c r="AS270" s="273"/>
      <c r="AT270" s="156"/>
      <c r="AU270" s="157">
        <f t="shared" si="28"/>
        <v>0</v>
      </c>
    </row>
    <row r="271" spans="2:47" hidden="1" x14ac:dyDescent="0.25">
      <c r="B271" s="83"/>
      <c r="C271" s="82"/>
      <c r="D271" s="82"/>
      <c r="E271" s="82"/>
      <c r="F271" s="82"/>
      <c r="G271" s="96" t="s">
        <v>37</v>
      </c>
      <c r="H271" s="54" t="s">
        <v>196</v>
      </c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48"/>
      <c r="AD271" s="49"/>
      <c r="AE271" s="74">
        <f>SUM(AE272:AE283)</f>
        <v>42500000</v>
      </c>
      <c r="AF271" s="127">
        <f>(AE271/AE$13)*100</f>
        <v>0.32209182955529408</v>
      </c>
      <c r="AG271" s="127"/>
      <c r="AH271" s="196"/>
      <c r="AI271" s="189"/>
      <c r="AJ271" s="188"/>
      <c r="AK271" s="188"/>
      <c r="AL271" s="189"/>
      <c r="AM271" s="189"/>
      <c r="AN271" s="188"/>
      <c r="AO271" s="183"/>
      <c r="AP271" s="183"/>
      <c r="AQ271" s="183"/>
      <c r="AR271" s="183"/>
      <c r="AS271" s="273"/>
      <c r="AT271" s="156"/>
      <c r="AU271" s="157">
        <f t="shared" si="28"/>
        <v>0</v>
      </c>
    </row>
    <row r="272" spans="2:47" hidden="1" x14ac:dyDescent="0.25">
      <c r="B272" s="83"/>
      <c r="C272" s="82"/>
      <c r="D272" s="82"/>
      <c r="E272" s="82"/>
      <c r="F272" s="82"/>
      <c r="G272" s="96"/>
      <c r="H272" s="320" t="s">
        <v>283</v>
      </c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48"/>
      <c r="AD272" s="49"/>
      <c r="AE272" s="74">
        <v>6000000</v>
      </c>
      <c r="AF272" s="127"/>
      <c r="AG272" s="127"/>
      <c r="AH272" s="196"/>
      <c r="AI272" s="189">
        <f>+AE272/3</f>
        <v>2000000</v>
      </c>
      <c r="AJ272" s="188"/>
      <c r="AK272" s="188"/>
      <c r="AL272" s="189">
        <f>+AI272</f>
        <v>2000000</v>
      </c>
      <c r="AM272" s="189"/>
      <c r="AN272" s="188"/>
      <c r="AO272" s="183">
        <f>+AL272</f>
        <v>2000000</v>
      </c>
      <c r="AP272" s="183"/>
      <c r="AQ272" s="183"/>
      <c r="AR272" s="183"/>
      <c r="AS272" s="273"/>
      <c r="AT272" s="156"/>
      <c r="AU272" s="157">
        <f t="shared" si="28"/>
        <v>6000000</v>
      </c>
    </row>
    <row r="273" spans="2:47" hidden="1" x14ac:dyDescent="0.25">
      <c r="B273" s="83"/>
      <c r="C273" s="82"/>
      <c r="D273" s="82"/>
      <c r="E273" s="82"/>
      <c r="F273" s="82"/>
      <c r="G273" s="96"/>
      <c r="H273" s="320" t="s">
        <v>284</v>
      </c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48"/>
      <c r="AD273" s="49"/>
      <c r="AE273" s="74">
        <v>2250000</v>
      </c>
      <c r="AF273" s="127"/>
      <c r="AG273" s="127"/>
      <c r="AH273" s="196"/>
      <c r="AI273" s="189">
        <f>+AE273</f>
        <v>2250000</v>
      </c>
      <c r="AJ273" s="188"/>
      <c r="AK273" s="188"/>
      <c r="AM273" s="189"/>
      <c r="AN273" s="188"/>
      <c r="AO273" s="183"/>
      <c r="AP273" s="183"/>
      <c r="AQ273" s="183"/>
      <c r="AR273" s="183"/>
      <c r="AS273" s="273"/>
      <c r="AT273" s="156"/>
      <c r="AU273" s="157">
        <f t="shared" si="28"/>
        <v>2250000</v>
      </c>
    </row>
    <row r="274" spans="2:47" hidden="1" x14ac:dyDescent="0.25">
      <c r="B274" s="83"/>
      <c r="C274" s="82"/>
      <c r="D274" s="82"/>
      <c r="E274" s="82"/>
      <c r="F274" s="82"/>
      <c r="G274" s="96"/>
      <c r="H274" s="320" t="s">
        <v>285</v>
      </c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48"/>
      <c r="AD274" s="49"/>
      <c r="AE274" s="74">
        <v>3500000</v>
      </c>
      <c r="AF274" s="127"/>
      <c r="AG274" s="127"/>
      <c r="AH274" s="196"/>
      <c r="AI274" s="189"/>
      <c r="AJ274" s="188"/>
      <c r="AK274" s="188">
        <f>+AE274/2</f>
        <v>1750000</v>
      </c>
      <c r="AM274" s="189"/>
      <c r="AN274" s="188"/>
      <c r="AO274" s="183"/>
      <c r="AP274" s="183">
        <f>+AK274</f>
        <v>1750000</v>
      </c>
      <c r="AQ274" s="183"/>
      <c r="AR274" s="183"/>
      <c r="AS274" s="273"/>
      <c r="AT274" s="156"/>
      <c r="AU274" s="157">
        <f t="shared" si="28"/>
        <v>3500000</v>
      </c>
    </row>
    <row r="275" spans="2:47" hidden="1" x14ac:dyDescent="0.25">
      <c r="B275" s="83"/>
      <c r="C275" s="82"/>
      <c r="D275" s="82"/>
      <c r="E275" s="82"/>
      <c r="F275" s="82"/>
      <c r="G275" s="96"/>
      <c r="H275" s="320" t="s">
        <v>273</v>
      </c>
      <c r="I275" s="54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48"/>
      <c r="AD275" s="49"/>
      <c r="AE275" s="74">
        <v>4000000</v>
      </c>
      <c r="AF275" s="127"/>
      <c r="AG275" s="127"/>
      <c r="AH275" s="196"/>
      <c r="AI275" s="189"/>
      <c r="AJ275" s="188"/>
      <c r="AK275" s="188"/>
      <c r="AL275" s="189">
        <f>+AE275</f>
        <v>4000000</v>
      </c>
      <c r="AM275" s="189"/>
      <c r="AN275" s="188"/>
      <c r="AO275" s="183"/>
      <c r="AP275" s="183"/>
      <c r="AQ275" s="183"/>
      <c r="AR275" s="183"/>
      <c r="AS275" s="273"/>
      <c r="AT275" s="156"/>
      <c r="AU275" s="157">
        <f t="shared" si="28"/>
        <v>4000000</v>
      </c>
    </row>
    <row r="276" spans="2:47" hidden="1" x14ac:dyDescent="0.25">
      <c r="B276" s="83"/>
      <c r="C276" s="82"/>
      <c r="D276" s="82"/>
      <c r="E276" s="82"/>
      <c r="F276" s="82"/>
      <c r="G276" s="96"/>
      <c r="H276" s="320" t="s">
        <v>275</v>
      </c>
      <c r="I276" s="54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48"/>
      <c r="AD276" s="49"/>
      <c r="AE276" s="74">
        <v>4000000</v>
      </c>
      <c r="AF276" s="127"/>
      <c r="AG276" s="127"/>
      <c r="AH276" s="196"/>
      <c r="AI276" s="189"/>
      <c r="AJ276" s="188"/>
      <c r="AK276" s="188"/>
      <c r="AL276" s="189">
        <f>+AE276</f>
        <v>4000000</v>
      </c>
      <c r="AM276" s="189"/>
      <c r="AN276" s="188"/>
      <c r="AO276" s="183"/>
      <c r="AP276" s="183"/>
      <c r="AQ276" s="183"/>
      <c r="AR276" s="183"/>
      <c r="AS276" s="273"/>
      <c r="AT276" s="156"/>
      <c r="AU276" s="157">
        <f t="shared" si="28"/>
        <v>4000000</v>
      </c>
    </row>
    <row r="277" spans="2:47" hidden="1" x14ac:dyDescent="0.25">
      <c r="B277" s="83"/>
      <c r="C277" s="82"/>
      <c r="D277" s="82"/>
      <c r="E277" s="82"/>
      <c r="F277" s="82"/>
      <c r="G277" s="96"/>
      <c r="H277" s="321" t="s">
        <v>277</v>
      </c>
      <c r="I277" s="54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48"/>
      <c r="AD277" s="49"/>
      <c r="AE277" s="74">
        <v>3500000</v>
      </c>
      <c r="AF277" s="127"/>
      <c r="AG277" s="127"/>
      <c r="AH277" s="196"/>
      <c r="AI277" s="189"/>
      <c r="AJ277" s="188">
        <f>+AE277</f>
        <v>3500000</v>
      </c>
      <c r="AK277" s="188"/>
      <c r="AL277" s="189"/>
      <c r="AM277" s="189"/>
      <c r="AN277" s="188"/>
      <c r="AO277" s="183"/>
      <c r="AP277" s="183"/>
      <c r="AQ277" s="183"/>
      <c r="AR277" s="183"/>
      <c r="AS277" s="273"/>
      <c r="AT277" s="156"/>
      <c r="AU277" s="157">
        <f t="shared" si="28"/>
        <v>3500000</v>
      </c>
    </row>
    <row r="278" spans="2:47" hidden="1" x14ac:dyDescent="0.25">
      <c r="B278" s="83"/>
      <c r="C278" s="82"/>
      <c r="D278" s="82"/>
      <c r="E278" s="82"/>
      <c r="F278" s="82"/>
      <c r="G278" s="96"/>
      <c r="H278" s="320" t="s">
        <v>278</v>
      </c>
      <c r="I278" s="54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48"/>
      <c r="AD278" s="49"/>
      <c r="AE278" s="74">
        <v>3500000</v>
      </c>
      <c r="AF278" s="127"/>
      <c r="AG278" s="127"/>
      <c r="AH278" s="196"/>
      <c r="AI278" s="189"/>
      <c r="AJ278" s="188">
        <f>+AE278</f>
        <v>3500000</v>
      </c>
      <c r="AK278" s="188"/>
      <c r="AL278" s="189"/>
      <c r="AM278" s="189"/>
      <c r="AN278" s="188"/>
      <c r="AO278" s="183"/>
      <c r="AP278" s="183"/>
      <c r="AQ278" s="183"/>
      <c r="AR278" s="183"/>
      <c r="AS278" s="273"/>
      <c r="AT278" s="156"/>
      <c r="AU278" s="157">
        <f t="shared" si="28"/>
        <v>3500000</v>
      </c>
    </row>
    <row r="279" spans="2:47" hidden="1" x14ac:dyDescent="0.25">
      <c r="B279" s="83"/>
      <c r="C279" s="82"/>
      <c r="D279" s="82"/>
      <c r="E279" s="82"/>
      <c r="F279" s="82"/>
      <c r="G279" s="96"/>
      <c r="H279" s="321" t="s">
        <v>282</v>
      </c>
      <c r="I279" s="54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48"/>
      <c r="AD279" s="49"/>
      <c r="AE279" s="74">
        <v>2000000</v>
      </c>
      <c r="AF279" s="127"/>
      <c r="AG279" s="127"/>
      <c r="AH279" s="196"/>
      <c r="AI279" s="189"/>
      <c r="AJ279" s="188"/>
      <c r="AK279" s="188">
        <f>+AE279</f>
        <v>2000000</v>
      </c>
      <c r="AL279" s="189"/>
      <c r="AM279" s="189"/>
      <c r="AN279" s="188"/>
      <c r="AO279" s="183"/>
      <c r="AP279" s="183"/>
      <c r="AQ279" s="183"/>
      <c r="AR279" s="183"/>
      <c r="AS279" s="273"/>
      <c r="AT279" s="156"/>
      <c r="AU279" s="157">
        <f t="shared" si="28"/>
        <v>2000000</v>
      </c>
    </row>
    <row r="280" spans="2:47" hidden="1" x14ac:dyDescent="0.25">
      <c r="B280" s="83"/>
      <c r="C280" s="82"/>
      <c r="D280" s="82"/>
      <c r="E280" s="82"/>
      <c r="F280" s="82"/>
      <c r="G280" s="96"/>
      <c r="H280" s="321" t="s">
        <v>279</v>
      </c>
      <c r="I280" s="54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48"/>
      <c r="AD280" s="49"/>
      <c r="AE280" s="74">
        <v>3500000</v>
      </c>
      <c r="AF280" s="127"/>
      <c r="AG280" s="127"/>
      <c r="AH280" s="196"/>
      <c r="AI280" s="189"/>
      <c r="AJ280" s="188"/>
      <c r="AK280" s="188">
        <f>+AE280</f>
        <v>3500000</v>
      </c>
      <c r="AL280" s="189"/>
      <c r="AM280" s="189"/>
      <c r="AN280" s="188"/>
      <c r="AO280" s="183"/>
      <c r="AP280" s="183"/>
      <c r="AQ280" s="183"/>
      <c r="AR280" s="183"/>
      <c r="AS280" s="273"/>
      <c r="AT280" s="156"/>
      <c r="AU280" s="157">
        <f t="shared" si="28"/>
        <v>3500000</v>
      </c>
    </row>
    <row r="281" spans="2:47" hidden="1" x14ac:dyDescent="0.25">
      <c r="B281" s="83"/>
      <c r="C281" s="82"/>
      <c r="D281" s="82"/>
      <c r="E281" s="82"/>
      <c r="F281" s="82"/>
      <c r="G281" s="96"/>
      <c r="H281" s="321" t="s">
        <v>286</v>
      </c>
      <c r="I281" s="54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48"/>
      <c r="AD281" s="49"/>
      <c r="AE281" s="74">
        <v>4000000</v>
      </c>
      <c r="AF281" s="127"/>
      <c r="AG281" s="127"/>
      <c r="AH281" s="196"/>
      <c r="AI281" s="189">
        <f>+AE281</f>
        <v>4000000</v>
      </c>
      <c r="AJ281" s="188"/>
      <c r="AK281" s="188"/>
      <c r="AL281" s="189"/>
      <c r="AM281" s="189"/>
      <c r="AN281" s="188"/>
      <c r="AO281" s="183"/>
      <c r="AP281" s="183"/>
      <c r="AQ281" s="183"/>
      <c r="AR281" s="183"/>
      <c r="AS281" s="273"/>
      <c r="AT281" s="156"/>
      <c r="AU281" s="157">
        <f t="shared" si="28"/>
        <v>4000000</v>
      </c>
    </row>
    <row r="282" spans="2:47" hidden="1" x14ac:dyDescent="0.25">
      <c r="B282" s="83"/>
      <c r="C282" s="82"/>
      <c r="D282" s="82"/>
      <c r="E282" s="82"/>
      <c r="F282" s="82"/>
      <c r="G282" s="96"/>
      <c r="H282" s="321" t="s">
        <v>287</v>
      </c>
      <c r="I282" s="54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48"/>
      <c r="AD282" s="49"/>
      <c r="AE282" s="74">
        <v>2250000</v>
      </c>
      <c r="AF282" s="127"/>
      <c r="AG282" s="127"/>
      <c r="AH282" s="196"/>
      <c r="AI282" s="189">
        <f>+AE282</f>
        <v>2250000</v>
      </c>
      <c r="AJ282" s="188"/>
      <c r="AK282" s="188"/>
      <c r="AL282" s="189"/>
      <c r="AM282" s="189"/>
      <c r="AN282" s="188"/>
      <c r="AO282" s="183"/>
      <c r="AP282" s="183"/>
      <c r="AQ282" s="183"/>
      <c r="AR282" s="183"/>
      <c r="AS282" s="273"/>
      <c r="AT282" s="156"/>
      <c r="AU282" s="157">
        <f t="shared" si="28"/>
        <v>2250000</v>
      </c>
    </row>
    <row r="283" spans="2:47" hidden="1" x14ac:dyDescent="0.25">
      <c r="B283" s="83"/>
      <c r="C283" s="82"/>
      <c r="D283" s="82"/>
      <c r="E283" s="82"/>
      <c r="F283" s="82"/>
      <c r="G283" s="96"/>
      <c r="H283" s="321" t="s">
        <v>288</v>
      </c>
      <c r="I283" s="54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48"/>
      <c r="AD283" s="49"/>
      <c r="AE283" s="74">
        <v>4000000</v>
      </c>
      <c r="AF283" s="127"/>
      <c r="AG283" s="127"/>
      <c r="AH283" s="196"/>
      <c r="AI283" s="189"/>
      <c r="AJ283" s="188"/>
      <c r="AK283" s="188"/>
      <c r="AL283" s="189"/>
      <c r="AM283" s="189">
        <f>+AE283</f>
        <v>4000000</v>
      </c>
      <c r="AN283" s="188"/>
      <c r="AO283" s="183"/>
      <c r="AP283" s="183"/>
      <c r="AQ283" s="183"/>
      <c r="AR283" s="183"/>
      <c r="AS283" s="273"/>
      <c r="AT283" s="156"/>
      <c r="AU283" s="157">
        <f t="shared" si="28"/>
        <v>4000000</v>
      </c>
    </row>
    <row r="284" spans="2:47" hidden="1" x14ac:dyDescent="0.25">
      <c r="B284" s="83"/>
      <c r="C284" s="82"/>
      <c r="D284" s="82"/>
      <c r="E284" s="82"/>
      <c r="F284" s="82"/>
      <c r="G284" s="96"/>
      <c r="H284" s="54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48"/>
      <c r="AD284" s="49"/>
      <c r="AE284" s="74"/>
      <c r="AF284" s="127"/>
      <c r="AG284" s="127"/>
      <c r="AH284" s="196"/>
      <c r="AI284" s="189"/>
      <c r="AJ284" s="188"/>
      <c r="AK284" s="188"/>
      <c r="AL284" s="189"/>
      <c r="AM284" s="188"/>
      <c r="AN284" s="188"/>
      <c r="AO284" s="183"/>
      <c r="AP284" s="183"/>
      <c r="AQ284" s="183"/>
      <c r="AR284" s="183"/>
      <c r="AS284" s="273"/>
      <c r="AT284" s="156"/>
      <c r="AU284" s="157">
        <f t="shared" si="28"/>
        <v>0</v>
      </c>
    </row>
    <row r="285" spans="2:47" hidden="1" x14ac:dyDescent="0.25">
      <c r="B285" s="83">
        <v>5</v>
      </c>
      <c r="C285" s="82">
        <v>2</v>
      </c>
      <c r="D285" s="82">
        <v>2</v>
      </c>
      <c r="E285" s="84" t="s">
        <v>54</v>
      </c>
      <c r="F285" s="84" t="s">
        <v>12</v>
      </c>
      <c r="G285" s="57" t="s">
        <v>197</v>
      </c>
      <c r="H285" s="58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48"/>
      <c r="AD285" s="49"/>
      <c r="AE285" s="74">
        <f>+AE286</f>
        <v>147800000</v>
      </c>
      <c r="AF285" s="127">
        <f>(AE285/AE$13)*100</f>
        <v>1.1201217037240581</v>
      </c>
      <c r="AG285" s="127"/>
      <c r="AH285" s="196"/>
      <c r="AI285" s="189"/>
      <c r="AJ285" s="188"/>
      <c r="AK285" s="188"/>
      <c r="AL285" s="189"/>
      <c r="AM285" s="188"/>
      <c r="AN285" s="188"/>
      <c r="AO285" s="183"/>
      <c r="AP285" s="183"/>
      <c r="AQ285" s="183"/>
      <c r="AR285" s="183"/>
      <c r="AS285" s="273"/>
      <c r="AT285" s="156"/>
      <c r="AU285" s="157">
        <f t="shared" si="28"/>
        <v>0</v>
      </c>
    </row>
    <row r="286" spans="2:47" hidden="1" x14ac:dyDescent="0.25">
      <c r="B286" s="83"/>
      <c r="C286" s="82"/>
      <c r="D286" s="82"/>
      <c r="E286" s="82"/>
      <c r="F286" s="82"/>
      <c r="G286" s="96" t="s">
        <v>37</v>
      </c>
      <c r="H286" s="54" t="s">
        <v>198</v>
      </c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48"/>
      <c r="AD286" s="49"/>
      <c r="AE286" s="74">
        <f>SUM(AE287:AE299)</f>
        <v>147800000</v>
      </c>
      <c r="AF286" s="127">
        <f>(AE286/AE$13)*100</f>
        <v>1.1201217037240581</v>
      </c>
      <c r="AG286" s="127"/>
      <c r="AH286" s="196"/>
      <c r="AI286" s="189"/>
      <c r="AJ286" s="188"/>
      <c r="AK286" s="188"/>
      <c r="AL286" s="189"/>
      <c r="AM286" s="189"/>
      <c r="AN286" s="188"/>
      <c r="AO286" s="183"/>
      <c r="AP286" s="183"/>
      <c r="AQ286" s="183"/>
      <c r="AR286" s="183"/>
      <c r="AS286" s="273"/>
      <c r="AT286" s="156"/>
      <c r="AU286" s="157">
        <f t="shared" si="28"/>
        <v>0</v>
      </c>
    </row>
    <row r="287" spans="2:47" hidden="1" x14ac:dyDescent="0.25">
      <c r="B287" s="83"/>
      <c r="C287" s="82"/>
      <c r="D287" s="82"/>
      <c r="E287" s="82"/>
      <c r="F287" s="82"/>
      <c r="G287" s="96"/>
      <c r="H287" s="320" t="s">
        <v>283</v>
      </c>
      <c r="I287" s="54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48"/>
      <c r="AD287" s="49"/>
      <c r="AE287" s="74">
        <v>6300000</v>
      </c>
      <c r="AF287" s="127"/>
      <c r="AG287" s="127"/>
      <c r="AH287" s="196"/>
      <c r="AI287" s="189">
        <f>+AE287/3</f>
        <v>2100000</v>
      </c>
      <c r="AJ287" s="188"/>
      <c r="AK287" s="188"/>
      <c r="AL287" s="189">
        <f>+AI287</f>
        <v>2100000</v>
      </c>
      <c r="AM287" s="189"/>
      <c r="AN287" s="188"/>
      <c r="AO287" s="183">
        <f>+AL287</f>
        <v>2100000</v>
      </c>
      <c r="AP287" s="183"/>
      <c r="AQ287" s="183"/>
      <c r="AR287" s="183"/>
      <c r="AS287" s="273"/>
      <c r="AT287" s="156"/>
      <c r="AU287" s="157">
        <f t="shared" si="28"/>
        <v>6300000</v>
      </c>
    </row>
    <row r="288" spans="2:47" hidden="1" x14ac:dyDescent="0.25">
      <c r="B288" s="83"/>
      <c r="C288" s="82"/>
      <c r="D288" s="82"/>
      <c r="E288" s="82"/>
      <c r="F288" s="82"/>
      <c r="G288" s="96"/>
      <c r="H288" s="320" t="s">
        <v>284</v>
      </c>
      <c r="I288" s="54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48"/>
      <c r="AD288" s="49"/>
      <c r="AE288" s="74">
        <v>2700000</v>
      </c>
      <c r="AF288" s="127"/>
      <c r="AG288" s="127"/>
      <c r="AH288" s="196"/>
      <c r="AI288" s="189">
        <f>+AE288</f>
        <v>2700000</v>
      </c>
      <c r="AJ288" s="188"/>
      <c r="AK288" s="188"/>
      <c r="AM288" s="189"/>
      <c r="AN288" s="188"/>
      <c r="AO288" s="183"/>
      <c r="AP288" s="183"/>
      <c r="AQ288" s="183"/>
      <c r="AR288" s="183"/>
      <c r="AS288" s="273"/>
      <c r="AT288" s="156"/>
      <c r="AU288" s="157">
        <f t="shared" si="28"/>
        <v>2700000</v>
      </c>
    </row>
    <row r="289" spans="2:47" hidden="1" x14ac:dyDescent="0.25">
      <c r="B289" s="83"/>
      <c r="C289" s="82"/>
      <c r="D289" s="82"/>
      <c r="E289" s="82"/>
      <c r="F289" s="82"/>
      <c r="G289" s="96"/>
      <c r="H289" s="320" t="s">
        <v>285</v>
      </c>
      <c r="I289" s="54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48"/>
      <c r="AD289" s="49"/>
      <c r="AE289" s="74">
        <v>6000000</v>
      </c>
      <c r="AF289" s="127"/>
      <c r="AG289" s="127"/>
      <c r="AH289" s="196"/>
      <c r="AI289" s="189"/>
      <c r="AJ289" s="188"/>
      <c r="AK289" s="188">
        <f>+AE289/2</f>
        <v>3000000</v>
      </c>
      <c r="AM289" s="189"/>
      <c r="AN289" s="188"/>
      <c r="AO289" s="183"/>
      <c r="AP289" s="183">
        <f>+AK289</f>
        <v>3000000</v>
      </c>
      <c r="AQ289" s="183"/>
      <c r="AR289" s="183"/>
      <c r="AS289" s="273"/>
      <c r="AT289" s="156"/>
      <c r="AU289" s="157">
        <f t="shared" si="28"/>
        <v>6000000</v>
      </c>
    </row>
    <row r="290" spans="2:47" hidden="1" x14ac:dyDescent="0.25">
      <c r="B290" s="83"/>
      <c r="C290" s="82"/>
      <c r="D290" s="82"/>
      <c r="E290" s="82"/>
      <c r="F290" s="82"/>
      <c r="G290" s="96"/>
      <c r="H290" s="320" t="s">
        <v>273</v>
      </c>
      <c r="I290" s="54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48"/>
      <c r="AD290" s="49"/>
      <c r="AE290" s="74">
        <v>23800000</v>
      </c>
      <c r="AF290" s="127"/>
      <c r="AG290" s="127"/>
      <c r="AH290" s="196"/>
      <c r="AI290" s="189"/>
      <c r="AJ290" s="188"/>
      <c r="AK290" s="188"/>
      <c r="AL290" s="189">
        <f>+AE290</f>
        <v>23800000</v>
      </c>
      <c r="AM290" s="189"/>
      <c r="AN290" s="188"/>
      <c r="AO290" s="183"/>
      <c r="AP290" s="183"/>
      <c r="AQ290" s="183"/>
      <c r="AR290" s="183"/>
      <c r="AS290" s="273"/>
      <c r="AT290" s="156"/>
      <c r="AU290" s="157">
        <f t="shared" si="28"/>
        <v>23800000</v>
      </c>
    </row>
    <row r="291" spans="2:47" hidden="1" x14ac:dyDescent="0.25">
      <c r="B291" s="83"/>
      <c r="C291" s="82"/>
      <c r="D291" s="82"/>
      <c r="E291" s="82"/>
      <c r="F291" s="82"/>
      <c r="G291" s="96"/>
      <c r="H291" s="320" t="s">
        <v>275</v>
      </c>
      <c r="I291" s="54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48"/>
      <c r="AD291" s="49"/>
      <c r="AE291" s="74">
        <v>23800000</v>
      </c>
      <c r="AF291" s="127"/>
      <c r="AG291" s="127"/>
      <c r="AH291" s="196"/>
      <c r="AI291" s="189"/>
      <c r="AJ291" s="188"/>
      <c r="AK291" s="188"/>
      <c r="AL291" s="189">
        <f>+AE291</f>
        <v>23800000</v>
      </c>
      <c r="AM291" s="189"/>
      <c r="AN291" s="188"/>
      <c r="AO291" s="183"/>
      <c r="AP291" s="183"/>
      <c r="AQ291" s="183"/>
      <c r="AR291" s="183"/>
      <c r="AS291" s="273"/>
      <c r="AT291" s="156"/>
      <c r="AU291" s="157">
        <f t="shared" si="28"/>
        <v>23800000</v>
      </c>
    </row>
    <row r="292" spans="2:47" hidden="1" x14ac:dyDescent="0.25">
      <c r="B292" s="83"/>
      <c r="C292" s="82"/>
      <c r="D292" s="82"/>
      <c r="E292" s="82"/>
      <c r="F292" s="82"/>
      <c r="G292" s="96"/>
      <c r="H292" s="321" t="s">
        <v>277</v>
      </c>
      <c r="I292" s="54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48"/>
      <c r="AD292" s="49"/>
      <c r="AE292" s="74">
        <v>8000000</v>
      </c>
      <c r="AF292" s="127"/>
      <c r="AG292" s="127"/>
      <c r="AH292" s="196"/>
      <c r="AI292" s="189"/>
      <c r="AJ292" s="188">
        <f>+AE292</f>
        <v>8000000</v>
      </c>
      <c r="AK292" s="188"/>
      <c r="AL292" s="189"/>
      <c r="AM292" s="189"/>
      <c r="AN292" s="188"/>
      <c r="AO292" s="183"/>
      <c r="AP292" s="183"/>
      <c r="AQ292" s="183"/>
      <c r="AR292" s="183"/>
      <c r="AS292" s="273"/>
      <c r="AT292" s="156"/>
      <c r="AU292" s="157">
        <f t="shared" si="28"/>
        <v>8000000</v>
      </c>
    </row>
    <row r="293" spans="2:47" hidden="1" x14ac:dyDescent="0.25">
      <c r="B293" s="83"/>
      <c r="C293" s="82"/>
      <c r="D293" s="82"/>
      <c r="E293" s="82"/>
      <c r="F293" s="82"/>
      <c r="G293" s="96"/>
      <c r="H293" s="320" t="s">
        <v>278</v>
      </c>
      <c r="I293" s="54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48"/>
      <c r="AD293" s="49"/>
      <c r="AE293" s="74">
        <v>8000000</v>
      </c>
      <c r="AF293" s="127"/>
      <c r="AG293" s="127"/>
      <c r="AH293" s="196"/>
      <c r="AI293" s="189"/>
      <c r="AJ293" s="188">
        <f>+AE293</f>
        <v>8000000</v>
      </c>
      <c r="AK293" s="188"/>
      <c r="AL293" s="189"/>
      <c r="AM293" s="189"/>
      <c r="AN293" s="188"/>
      <c r="AO293" s="183"/>
      <c r="AP293" s="183"/>
      <c r="AQ293" s="183"/>
      <c r="AR293" s="183"/>
      <c r="AS293" s="273"/>
      <c r="AT293" s="156"/>
      <c r="AU293" s="157">
        <f t="shared" si="28"/>
        <v>8000000</v>
      </c>
    </row>
    <row r="294" spans="2:47" hidden="1" x14ac:dyDescent="0.25">
      <c r="B294" s="83"/>
      <c r="C294" s="82"/>
      <c r="D294" s="82"/>
      <c r="E294" s="82"/>
      <c r="F294" s="82"/>
      <c r="G294" s="96"/>
      <c r="H294" s="321" t="s">
        <v>282</v>
      </c>
      <c r="I294" s="54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48"/>
      <c r="AD294" s="49"/>
      <c r="AE294" s="74">
        <v>2100000</v>
      </c>
      <c r="AF294" s="127"/>
      <c r="AG294" s="127"/>
      <c r="AH294" s="196"/>
      <c r="AI294" s="189"/>
      <c r="AJ294" s="188"/>
      <c r="AK294" s="188">
        <f>+AE294</f>
        <v>2100000</v>
      </c>
      <c r="AL294" s="189"/>
      <c r="AM294" s="189"/>
      <c r="AN294" s="188"/>
      <c r="AO294" s="183"/>
      <c r="AP294" s="183"/>
      <c r="AQ294" s="183"/>
      <c r="AR294" s="183"/>
      <c r="AS294" s="273"/>
      <c r="AT294" s="156"/>
      <c r="AU294" s="157">
        <f t="shared" si="28"/>
        <v>2100000</v>
      </c>
    </row>
    <row r="295" spans="2:47" hidden="1" x14ac:dyDescent="0.25">
      <c r="B295" s="83"/>
      <c r="C295" s="82"/>
      <c r="D295" s="82"/>
      <c r="E295" s="82"/>
      <c r="F295" s="82"/>
      <c r="G295" s="96"/>
      <c r="H295" s="321" t="s">
        <v>279</v>
      </c>
      <c r="I295" s="54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48"/>
      <c r="AD295" s="49"/>
      <c r="AE295" s="74">
        <v>1500000</v>
      </c>
      <c r="AF295" s="127"/>
      <c r="AG295" s="127"/>
      <c r="AH295" s="196"/>
      <c r="AI295" s="189"/>
      <c r="AJ295" s="188"/>
      <c r="AK295" s="188">
        <f>+AE295</f>
        <v>1500000</v>
      </c>
      <c r="AL295" s="189"/>
      <c r="AM295" s="189"/>
      <c r="AN295" s="188"/>
      <c r="AO295" s="183"/>
      <c r="AP295" s="183"/>
      <c r="AQ295" s="183"/>
      <c r="AR295" s="183"/>
      <c r="AS295" s="273"/>
      <c r="AT295" s="156"/>
      <c r="AU295" s="157">
        <f t="shared" si="28"/>
        <v>1500000</v>
      </c>
    </row>
    <row r="296" spans="2:47" hidden="1" x14ac:dyDescent="0.25">
      <c r="B296" s="83"/>
      <c r="C296" s="82"/>
      <c r="D296" s="82"/>
      <c r="E296" s="82"/>
      <c r="F296" s="82"/>
      <c r="G296" s="96"/>
      <c r="H296" s="321" t="s">
        <v>286</v>
      </c>
      <c r="I296" s="54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48"/>
      <c r="AD296" s="49"/>
      <c r="AE296" s="74">
        <v>2000000</v>
      </c>
      <c r="AF296" s="127"/>
      <c r="AG296" s="127"/>
      <c r="AH296" s="196"/>
      <c r="AI296" s="189">
        <f>+AE296</f>
        <v>2000000</v>
      </c>
      <c r="AJ296" s="188"/>
      <c r="AK296" s="188"/>
      <c r="AL296" s="189"/>
      <c r="AM296" s="189"/>
      <c r="AN296" s="188"/>
      <c r="AO296" s="183"/>
      <c r="AP296" s="183"/>
      <c r="AQ296" s="183"/>
      <c r="AR296" s="183"/>
      <c r="AS296" s="273"/>
      <c r="AT296" s="156"/>
      <c r="AU296" s="157">
        <f t="shared" si="28"/>
        <v>2000000</v>
      </c>
    </row>
    <row r="297" spans="2:47" hidden="1" x14ac:dyDescent="0.25">
      <c r="B297" s="83"/>
      <c r="C297" s="82"/>
      <c r="D297" s="82"/>
      <c r="E297" s="82"/>
      <c r="F297" s="82"/>
      <c r="G297" s="96"/>
      <c r="H297" s="321" t="s">
        <v>287</v>
      </c>
      <c r="I297" s="54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48"/>
      <c r="AD297" s="49"/>
      <c r="AE297" s="74">
        <v>3600000</v>
      </c>
      <c r="AF297" s="127"/>
      <c r="AG297" s="127"/>
      <c r="AH297" s="196"/>
      <c r="AI297" s="189">
        <f>+AE297</f>
        <v>3600000</v>
      </c>
      <c r="AJ297" s="188"/>
      <c r="AK297" s="188"/>
      <c r="AL297" s="189"/>
      <c r="AM297" s="189"/>
      <c r="AN297" s="188"/>
      <c r="AO297" s="183"/>
      <c r="AP297" s="183"/>
      <c r="AQ297" s="183"/>
      <c r="AR297" s="183"/>
      <c r="AS297" s="273"/>
      <c r="AT297" s="156"/>
      <c r="AU297" s="157">
        <f t="shared" si="28"/>
        <v>3600000</v>
      </c>
    </row>
    <row r="298" spans="2:47" hidden="1" x14ac:dyDescent="0.25">
      <c r="B298" s="83"/>
      <c r="C298" s="82"/>
      <c r="D298" s="82"/>
      <c r="E298" s="82"/>
      <c r="F298" s="82"/>
      <c r="G298" s="96"/>
      <c r="H298" s="321" t="s">
        <v>289</v>
      </c>
      <c r="I298" s="54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48"/>
      <c r="AD298" s="49"/>
      <c r="AE298" s="74">
        <v>42000000</v>
      </c>
      <c r="AF298" s="127"/>
      <c r="AG298" s="127"/>
      <c r="AH298" s="196"/>
      <c r="AI298" s="189"/>
      <c r="AJ298" s="188"/>
      <c r="AK298" s="188"/>
      <c r="AL298" s="189"/>
      <c r="AM298" s="189">
        <f>+AE298</f>
        <v>42000000</v>
      </c>
      <c r="AN298" s="188"/>
      <c r="AO298" s="183"/>
      <c r="AP298" s="183"/>
      <c r="AQ298" s="183"/>
      <c r="AR298" s="183"/>
      <c r="AS298" s="273"/>
      <c r="AT298" s="156"/>
      <c r="AU298" s="157">
        <f t="shared" si="28"/>
        <v>42000000</v>
      </c>
    </row>
    <row r="299" spans="2:47" hidden="1" x14ac:dyDescent="0.25">
      <c r="B299" s="83"/>
      <c r="C299" s="82"/>
      <c r="D299" s="82"/>
      <c r="E299" s="82"/>
      <c r="F299" s="82"/>
      <c r="G299" s="53"/>
      <c r="H299" s="321" t="s">
        <v>288</v>
      </c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48"/>
      <c r="AD299" s="49"/>
      <c r="AE299" s="74">
        <v>18000000</v>
      </c>
      <c r="AF299" s="127"/>
      <c r="AG299" s="127"/>
      <c r="AH299" s="196"/>
      <c r="AI299" s="189"/>
      <c r="AJ299" s="188"/>
      <c r="AK299" s="188"/>
      <c r="AL299" s="189"/>
      <c r="AM299" s="189">
        <f>+AE299</f>
        <v>18000000</v>
      </c>
      <c r="AN299" s="188"/>
      <c r="AO299" s="183"/>
      <c r="AP299" s="183"/>
      <c r="AQ299" s="183"/>
      <c r="AR299" s="183"/>
      <c r="AS299" s="273"/>
      <c r="AT299" s="156"/>
      <c r="AU299" s="157">
        <f t="shared" si="28"/>
        <v>18000000</v>
      </c>
    </row>
    <row r="300" spans="2:47" hidden="1" x14ac:dyDescent="0.25">
      <c r="B300" s="83"/>
      <c r="C300" s="82"/>
      <c r="D300" s="82"/>
      <c r="E300" s="82"/>
      <c r="F300" s="82"/>
      <c r="G300" s="53"/>
      <c r="H300" s="321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48"/>
      <c r="AD300" s="49"/>
      <c r="AE300" s="74"/>
      <c r="AF300" s="127"/>
      <c r="AG300" s="127"/>
      <c r="AH300" s="196"/>
      <c r="AI300" s="189"/>
      <c r="AJ300" s="188"/>
      <c r="AK300" s="188"/>
      <c r="AL300" s="189"/>
      <c r="AM300" s="188"/>
      <c r="AN300" s="188"/>
      <c r="AO300" s="183"/>
      <c r="AP300" s="183"/>
      <c r="AQ300" s="183"/>
      <c r="AR300" s="183"/>
      <c r="AS300" s="273"/>
      <c r="AT300" s="156"/>
      <c r="AU300" s="157"/>
    </row>
    <row r="301" spans="2:47" hidden="1" x14ac:dyDescent="0.25">
      <c r="B301" s="83">
        <v>5</v>
      </c>
      <c r="C301" s="82">
        <v>2</v>
      </c>
      <c r="D301" s="82">
        <v>2</v>
      </c>
      <c r="E301" s="82">
        <v>11</v>
      </c>
      <c r="F301" s="82"/>
      <c r="G301" s="57" t="s">
        <v>30</v>
      </c>
      <c r="H301" s="54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48"/>
      <c r="AD301" s="49"/>
      <c r="AE301" s="34">
        <f>+AE302</f>
        <v>290522500</v>
      </c>
      <c r="AF301" s="127">
        <f>(AE301/AE$13)*100</f>
        <v>2.2017629071053628</v>
      </c>
      <c r="AG301" s="127"/>
      <c r="AH301" s="196"/>
      <c r="AI301" s="189"/>
      <c r="AJ301" s="188"/>
      <c r="AK301" s="188"/>
      <c r="AL301" s="189"/>
      <c r="AM301" s="188"/>
      <c r="AN301" s="188"/>
      <c r="AO301" s="183"/>
      <c r="AP301" s="183"/>
      <c r="AQ301" s="183"/>
      <c r="AR301" s="183"/>
      <c r="AS301" s="273"/>
      <c r="AT301" s="156"/>
      <c r="AU301" s="157">
        <f t="shared" si="28"/>
        <v>0</v>
      </c>
    </row>
    <row r="302" spans="2:47" hidden="1" x14ac:dyDescent="0.25">
      <c r="B302" s="83">
        <v>5</v>
      </c>
      <c r="C302" s="82">
        <v>2</v>
      </c>
      <c r="D302" s="82">
        <v>2</v>
      </c>
      <c r="E302" s="82">
        <v>11</v>
      </c>
      <c r="F302" s="84" t="s">
        <v>10</v>
      </c>
      <c r="G302" s="57" t="s">
        <v>39</v>
      </c>
      <c r="H302" s="58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48"/>
      <c r="AD302" s="49"/>
      <c r="AE302" s="34">
        <f>+AE303</f>
        <v>290522500</v>
      </c>
      <c r="AF302" s="127">
        <f>(AE302/AE$13)*100</f>
        <v>2.2017629071053628</v>
      </c>
      <c r="AG302" s="127"/>
      <c r="AH302" s="196"/>
      <c r="AI302" s="189"/>
      <c r="AJ302" s="188"/>
      <c r="AK302" s="188"/>
      <c r="AL302" s="189"/>
      <c r="AM302" s="188"/>
      <c r="AN302" s="188"/>
      <c r="AO302" s="183"/>
      <c r="AP302" s="183"/>
      <c r="AQ302" s="183"/>
      <c r="AR302" s="183"/>
      <c r="AS302" s="273"/>
      <c r="AT302" s="156"/>
      <c r="AU302" s="157">
        <f t="shared" si="28"/>
        <v>0</v>
      </c>
    </row>
    <row r="303" spans="2:47" hidden="1" x14ac:dyDescent="0.25">
      <c r="B303" s="83"/>
      <c r="C303" s="82"/>
      <c r="D303" s="82"/>
      <c r="E303" s="82"/>
      <c r="F303" s="82"/>
      <c r="G303" s="92" t="s">
        <v>37</v>
      </c>
      <c r="H303" s="54" t="s">
        <v>183</v>
      </c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48"/>
      <c r="AD303" s="49"/>
      <c r="AE303" s="74">
        <v>290522500</v>
      </c>
      <c r="AF303" s="127">
        <f>(AE303/AE$13)*100</f>
        <v>2.2017629071053628</v>
      </c>
      <c r="AG303" s="127"/>
      <c r="AH303" s="196"/>
      <c r="AI303" s="189">
        <f>+AE303/9</f>
        <v>32280277.777777776</v>
      </c>
      <c r="AJ303" s="188">
        <f>+AI303</f>
        <v>32280277.777777776</v>
      </c>
      <c r="AK303" s="188">
        <f t="shared" ref="AK303:AQ303" si="36">+AJ303</f>
        <v>32280277.777777776</v>
      </c>
      <c r="AL303" s="188">
        <f t="shared" si="36"/>
        <v>32280277.777777776</v>
      </c>
      <c r="AM303" s="188">
        <f t="shared" si="36"/>
        <v>32280277.777777776</v>
      </c>
      <c r="AN303" s="188">
        <f t="shared" si="36"/>
        <v>32280277.777777776</v>
      </c>
      <c r="AO303" s="188">
        <f t="shared" si="36"/>
        <v>32280277.777777776</v>
      </c>
      <c r="AP303" s="188">
        <f t="shared" si="36"/>
        <v>32280277.777777776</v>
      </c>
      <c r="AQ303" s="188">
        <f t="shared" si="36"/>
        <v>32280277.777777776</v>
      </c>
      <c r="AR303" s="183"/>
      <c r="AS303" s="273"/>
      <c r="AT303" s="156"/>
      <c r="AU303" s="157">
        <f t="shared" si="28"/>
        <v>290522500.00000006</v>
      </c>
    </row>
    <row r="304" spans="2:47" hidden="1" x14ac:dyDescent="0.25">
      <c r="B304" s="83"/>
      <c r="C304" s="82"/>
      <c r="D304" s="82"/>
      <c r="E304" s="82"/>
      <c r="F304" s="82"/>
      <c r="G304" s="92"/>
      <c r="H304" s="54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48"/>
      <c r="AD304" s="49"/>
      <c r="AE304" s="74"/>
      <c r="AF304" s="127"/>
      <c r="AG304" s="127"/>
      <c r="AH304" s="196"/>
      <c r="AI304" s="189"/>
      <c r="AJ304" s="188"/>
      <c r="AK304" s="188"/>
      <c r="AL304" s="189"/>
      <c r="AM304" s="188"/>
      <c r="AN304" s="188"/>
      <c r="AO304" s="183"/>
      <c r="AP304" s="183"/>
      <c r="AQ304" s="183"/>
      <c r="AR304" s="183"/>
      <c r="AS304" s="273"/>
      <c r="AT304" s="156"/>
      <c r="AU304" s="157">
        <f t="shared" si="28"/>
        <v>0</v>
      </c>
    </row>
    <row r="305" spans="2:47" hidden="1" x14ac:dyDescent="0.25">
      <c r="B305" s="83">
        <v>5</v>
      </c>
      <c r="C305" s="82">
        <v>2</v>
      </c>
      <c r="D305" s="82">
        <v>2</v>
      </c>
      <c r="E305" s="82">
        <v>14</v>
      </c>
      <c r="F305" s="82"/>
      <c r="G305" s="57" t="s">
        <v>48</v>
      </c>
      <c r="H305" s="58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48"/>
      <c r="AD305" s="49"/>
      <c r="AE305" s="34">
        <f>+AE306</f>
        <v>35000000</v>
      </c>
      <c r="AF305" s="127">
        <f>(AE305/AE$13)*100</f>
        <v>0.2652520949278892</v>
      </c>
      <c r="AG305" s="127"/>
      <c r="AH305" s="196"/>
      <c r="AI305" s="189"/>
      <c r="AJ305" s="188"/>
      <c r="AK305" s="188"/>
      <c r="AL305" s="189"/>
      <c r="AM305" s="188"/>
      <c r="AN305" s="188"/>
      <c r="AO305" s="183"/>
      <c r="AP305" s="183"/>
      <c r="AQ305" s="183"/>
      <c r="AR305" s="183"/>
      <c r="AS305" s="273"/>
      <c r="AT305" s="156"/>
      <c r="AU305" s="157">
        <f t="shared" si="28"/>
        <v>0</v>
      </c>
    </row>
    <row r="306" spans="2:47" hidden="1" x14ac:dyDescent="0.25">
      <c r="B306" s="83">
        <v>5</v>
      </c>
      <c r="C306" s="82">
        <v>2</v>
      </c>
      <c r="D306" s="82">
        <v>2</v>
      </c>
      <c r="E306" s="82">
        <v>14</v>
      </c>
      <c r="F306" s="84" t="s">
        <v>52</v>
      </c>
      <c r="G306" s="53" t="s">
        <v>49</v>
      </c>
      <c r="H306" s="54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48"/>
      <c r="AD306" s="49"/>
      <c r="AE306" s="74">
        <v>35000000</v>
      </c>
      <c r="AF306" s="127">
        <f>(AE306/AE$13)*100</f>
        <v>0.2652520949278892</v>
      </c>
      <c r="AG306" s="127"/>
      <c r="AH306" s="196"/>
      <c r="AI306" s="189"/>
      <c r="AJ306" s="188"/>
      <c r="AK306" s="188">
        <v>17000000</v>
      </c>
      <c r="AL306" s="189">
        <v>18000000</v>
      </c>
      <c r="AM306" s="188"/>
      <c r="AN306" s="188"/>
      <c r="AO306" s="183"/>
      <c r="AP306" s="183"/>
      <c r="AQ306" s="183"/>
      <c r="AR306" s="183"/>
      <c r="AS306" s="273"/>
      <c r="AT306" s="156"/>
      <c r="AU306" s="157">
        <f t="shared" si="28"/>
        <v>35000000</v>
      </c>
    </row>
    <row r="307" spans="2:47" hidden="1" x14ac:dyDescent="0.25">
      <c r="B307" s="83"/>
      <c r="C307" s="82"/>
      <c r="D307" s="82"/>
      <c r="E307" s="82"/>
      <c r="F307" s="84"/>
      <c r="G307" s="108"/>
      <c r="H307" s="52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48"/>
      <c r="AD307" s="49"/>
      <c r="AE307" s="74"/>
      <c r="AF307" s="127"/>
      <c r="AG307" s="127"/>
      <c r="AH307" s="196"/>
      <c r="AI307" s="189"/>
      <c r="AJ307" s="188"/>
      <c r="AK307" s="188"/>
      <c r="AL307" s="189"/>
      <c r="AM307" s="188"/>
      <c r="AN307" s="188"/>
      <c r="AO307" s="183"/>
      <c r="AP307" s="183"/>
      <c r="AQ307" s="183"/>
      <c r="AR307" s="183"/>
      <c r="AS307" s="273"/>
      <c r="AT307" s="156"/>
      <c r="AU307" s="157">
        <f t="shared" si="28"/>
        <v>0</v>
      </c>
    </row>
    <row r="308" spans="2:47" hidden="1" x14ac:dyDescent="0.25">
      <c r="B308" s="83">
        <v>5</v>
      </c>
      <c r="C308" s="82">
        <v>2</v>
      </c>
      <c r="D308" s="82">
        <v>2</v>
      </c>
      <c r="E308" s="82">
        <v>15</v>
      </c>
      <c r="F308" s="82"/>
      <c r="G308" s="97" t="s">
        <v>50</v>
      </c>
      <c r="H308" s="98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48"/>
      <c r="AD308" s="49"/>
      <c r="AE308" s="34">
        <f>+AE309+AE312</f>
        <v>265170000</v>
      </c>
      <c r="AF308" s="127">
        <f>(AE308/AE$13)*100</f>
        <v>2.0096256574865254</v>
      </c>
      <c r="AG308" s="127"/>
      <c r="AH308" s="196"/>
      <c r="AI308" s="189"/>
      <c r="AJ308" s="188"/>
      <c r="AK308" s="188"/>
      <c r="AL308" s="189"/>
      <c r="AM308" s="188"/>
      <c r="AN308" s="188"/>
      <c r="AO308" s="183"/>
      <c r="AP308" s="183"/>
      <c r="AQ308" s="183"/>
      <c r="AR308" s="183"/>
      <c r="AS308" s="273"/>
      <c r="AT308" s="156"/>
      <c r="AU308" s="157">
        <f t="shared" si="28"/>
        <v>0</v>
      </c>
    </row>
    <row r="309" spans="2:47" hidden="1" x14ac:dyDescent="0.25">
      <c r="B309" s="83">
        <v>5</v>
      </c>
      <c r="C309" s="82">
        <v>2</v>
      </c>
      <c r="D309" s="82">
        <v>2</v>
      </c>
      <c r="E309" s="82">
        <v>15</v>
      </c>
      <c r="F309" s="84" t="s">
        <v>5</v>
      </c>
      <c r="G309" s="57" t="s">
        <v>132</v>
      </c>
      <c r="H309" s="58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48"/>
      <c r="AD309" s="49"/>
      <c r="AE309" s="34">
        <f>+AE310</f>
        <v>133170000</v>
      </c>
      <c r="AF309" s="127">
        <f>(AE309/AE$13)*100</f>
        <v>1.0092463280442003</v>
      </c>
      <c r="AG309" s="127"/>
      <c r="AH309" s="196"/>
      <c r="AI309" s="189"/>
      <c r="AJ309" s="188"/>
      <c r="AK309" s="188"/>
      <c r="AL309" s="189"/>
      <c r="AM309" s="188"/>
      <c r="AN309" s="188"/>
      <c r="AO309" s="183"/>
      <c r="AP309" s="183"/>
      <c r="AQ309" s="183"/>
      <c r="AR309" s="183"/>
      <c r="AS309" s="273"/>
      <c r="AT309" s="156"/>
      <c r="AU309" s="157">
        <f t="shared" si="28"/>
        <v>0</v>
      </c>
    </row>
    <row r="310" spans="2:47" hidden="1" x14ac:dyDescent="0.25">
      <c r="B310" s="83"/>
      <c r="C310" s="82"/>
      <c r="D310" s="82"/>
      <c r="E310" s="82"/>
      <c r="F310" s="82"/>
      <c r="G310" s="53" t="s">
        <v>37</v>
      </c>
      <c r="H310" s="88" t="s">
        <v>199</v>
      </c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48"/>
      <c r="AD310" s="49"/>
      <c r="AE310" s="74">
        <v>133170000</v>
      </c>
      <c r="AF310" s="127">
        <f>(AE310/AE$13)*100</f>
        <v>1.0092463280442003</v>
      </c>
      <c r="AG310" s="127"/>
      <c r="AH310" s="196"/>
      <c r="AI310" s="189">
        <f>+AE310/5</f>
        <v>26634000</v>
      </c>
      <c r="AJ310" s="188"/>
      <c r="AK310" s="188">
        <f>+AI310</f>
        <v>26634000</v>
      </c>
      <c r="AL310" s="188">
        <f>+AK310</f>
        <v>26634000</v>
      </c>
      <c r="AM310" s="188"/>
      <c r="AN310" s="188"/>
      <c r="AO310" s="188">
        <f>+AL310</f>
        <v>26634000</v>
      </c>
      <c r="AP310" s="188">
        <f>+AO310</f>
        <v>26634000</v>
      </c>
      <c r="AQ310" s="188"/>
      <c r="AR310" s="188"/>
      <c r="AS310" s="273"/>
      <c r="AT310" s="156"/>
      <c r="AU310" s="157">
        <f t="shared" si="28"/>
        <v>133170000</v>
      </c>
    </row>
    <row r="311" spans="2:47" hidden="1" x14ac:dyDescent="0.25">
      <c r="B311" s="83"/>
      <c r="C311" s="82"/>
      <c r="D311" s="82"/>
      <c r="E311" s="82"/>
      <c r="F311" s="82"/>
      <c r="G311" s="53"/>
      <c r="H311" s="88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48"/>
      <c r="AD311" s="49"/>
      <c r="AE311" s="74"/>
      <c r="AF311" s="127"/>
      <c r="AG311" s="127"/>
      <c r="AH311" s="196"/>
      <c r="AI311" s="189"/>
      <c r="AJ311" s="188"/>
      <c r="AK311" s="188"/>
      <c r="AL311" s="189"/>
      <c r="AM311" s="188"/>
      <c r="AN311" s="188"/>
      <c r="AO311" s="183"/>
      <c r="AP311" s="183"/>
      <c r="AQ311" s="183"/>
      <c r="AR311" s="183"/>
      <c r="AS311" s="273"/>
      <c r="AT311" s="156"/>
      <c r="AU311" s="157">
        <f t="shared" si="28"/>
        <v>0</v>
      </c>
    </row>
    <row r="312" spans="2:47" hidden="1" x14ac:dyDescent="0.25">
      <c r="B312" s="83">
        <v>5</v>
      </c>
      <c r="C312" s="82">
        <v>2</v>
      </c>
      <c r="D312" s="82">
        <v>2</v>
      </c>
      <c r="E312" s="82">
        <v>15</v>
      </c>
      <c r="F312" s="84" t="s">
        <v>10</v>
      </c>
      <c r="G312" s="53" t="s">
        <v>62</v>
      </c>
      <c r="H312" s="88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48"/>
      <c r="AD312" s="49"/>
      <c r="AE312" s="34">
        <f>+AE313</f>
        <v>132000000</v>
      </c>
      <c r="AF312" s="127">
        <f>(AE312/AE$13)*100</f>
        <v>1.0003793294423251</v>
      </c>
      <c r="AG312" s="127"/>
      <c r="AH312" s="196"/>
      <c r="AI312" s="189"/>
      <c r="AJ312" s="188"/>
      <c r="AK312" s="188"/>
      <c r="AL312" s="189"/>
      <c r="AM312" s="188"/>
      <c r="AN312" s="188"/>
      <c r="AO312" s="183"/>
      <c r="AP312" s="183"/>
      <c r="AQ312" s="183"/>
      <c r="AR312" s="183"/>
      <c r="AS312" s="273"/>
      <c r="AT312" s="156"/>
      <c r="AU312" s="157">
        <f t="shared" si="28"/>
        <v>0</v>
      </c>
    </row>
    <row r="313" spans="2:47" hidden="1" x14ac:dyDescent="0.25">
      <c r="B313" s="83"/>
      <c r="C313" s="82"/>
      <c r="D313" s="82"/>
      <c r="E313" s="82"/>
      <c r="F313" s="84"/>
      <c r="G313" s="53" t="s">
        <v>37</v>
      </c>
      <c r="H313" s="88" t="s">
        <v>200</v>
      </c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48"/>
      <c r="AD313" s="49"/>
      <c r="AE313" s="74">
        <v>132000000</v>
      </c>
      <c r="AF313" s="127">
        <f>(AE313/AE$13)*100</f>
        <v>1.0003793294423251</v>
      </c>
      <c r="AG313" s="127"/>
      <c r="AH313" s="196"/>
      <c r="AI313" s="189">
        <v>10000000</v>
      </c>
      <c r="AJ313" s="188">
        <v>30000000</v>
      </c>
      <c r="AK313" s="188">
        <v>10000000</v>
      </c>
      <c r="AL313" s="188">
        <v>12000000</v>
      </c>
      <c r="AM313" s="188"/>
      <c r="AN313" s="188">
        <f>+AJ313</f>
        <v>30000000</v>
      </c>
      <c r="AO313" s="183">
        <v>40000000</v>
      </c>
      <c r="AP313" s="183"/>
      <c r="AQ313" s="183"/>
      <c r="AR313" s="183"/>
      <c r="AS313" s="273"/>
      <c r="AT313" s="156"/>
      <c r="AU313" s="157">
        <f t="shared" si="28"/>
        <v>132000000</v>
      </c>
    </row>
    <row r="314" spans="2:47" hidden="1" x14ac:dyDescent="0.25">
      <c r="B314" s="83"/>
      <c r="C314" s="82"/>
      <c r="D314" s="82"/>
      <c r="E314" s="82"/>
      <c r="F314" s="84"/>
      <c r="G314" s="53"/>
      <c r="H314" s="88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48"/>
      <c r="AD314" s="49"/>
      <c r="AE314" s="74"/>
      <c r="AF314" s="127"/>
      <c r="AG314" s="127"/>
      <c r="AH314" s="196"/>
      <c r="AI314" s="189"/>
      <c r="AJ314" s="188"/>
      <c r="AK314" s="188"/>
      <c r="AL314" s="189"/>
      <c r="AM314" s="188"/>
      <c r="AN314" s="188"/>
      <c r="AO314" s="183"/>
      <c r="AP314" s="183"/>
      <c r="AQ314" s="183"/>
      <c r="AR314" s="183"/>
      <c r="AS314" s="273"/>
      <c r="AT314" s="156"/>
      <c r="AU314" s="157">
        <f t="shared" si="28"/>
        <v>0</v>
      </c>
    </row>
    <row r="315" spans="2:47" hidden="1" x14ac:dyDescent="0.25">
      <c r="B315" s="83">
        <v>5</v>
      </c>
      <c r="C315" s="82">
        <v>2</v>
      </c>
      <c r="D315" s="82">
        <v>2</v>
      </c>
      <c r="E315" s="82">
        <v>17</v>
      </c>
      <c r="F315" s="82"/>
      <c r="G315" s="97" t="s">
        <v>201</v>
      </c>
      <c r="H315" s="98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48"/>
      <c r="AD315" s="49"/>
      <c r="AE315" s="34">
        <f>+AE316+AE318</f>
        <v>35640000</v>
      </c>
      <c r="AF315" s="127">
        <f>(AE315/AE$13)*100</f>
        <v>0.27010241894942777</v>
      </c>
      <c r="AG315" s="127"/>
      <c r="AH315" s="196"/>
      <c r="AI315" s="189"/>
      <c r="AJ315" s="188"/>
      <c r="AK315" s="188"/>
      <c r="AL315" s="189"/>
      <c r="AM315" s="188"/>
      <c r="AN315" s="188"/>
      <c r="AO315" s="183"/>
      <c r="AP315" s="183"/>
      <c r="AQ315" s="183"/>
      <c r="AR315" s="183"/>
      <c r="AS315" s="273"/>
      <c r="AT315" s="156"/>
      <c r="AU315" s="157">
        <f t="shared" si="28"/>
        <v>0</v>
      </c>
    </row>
    <row r="316" spans="2:47" hidden="1" x14ac:dyDescent="0.25">
      <c r="B316" s="83">
        <v>5</v>
      </c>
      <c r="C316" s="82">
        <v>2</v>
      </c>
      <c r="D316" s="82">
        <v>2</v>
      </c>
      <c r="E316" s="82">
        <v>17</v>
      </c>
      <c r="F316" s="84" t="s">
        <v>5</v>
      </c>
      <c r="G316" s="57" t="s">
        <v>268</v>
      </c>
      <c r="H316" s="58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48"/>
      <c r="AD316" s="49"/>
      <c r="AE316" s="34">
        <f>+AE317</f>
        <v>27000000</v>
      </c>
      <c r="AF316" s="127">
        <f>(AE316/AE$13)*100</f>
        <v>0.20462304465865741</v>
      </c>
      <c r="AG316" s="127"/>
      <c r="AH316" s="196"/>
      <c r="AI316" s="189"/>
      <c r="AJ316" s="188"/>
      <c r="AK316" s="188"/>
      <c r="AL316" s="189"/>
      <c r="AM316" s="188"/>
      <c r="AN316" s="188"/>
      <c r="AO316" s="183"/>
      <c r="AP316" s="183"/>
      <c r="AQ316" s="183"/>
      <c r="AR316" s="183"/>
      <c r="AS316" s="273"/>
      <c r="AT316" s="156"/>
      <c r="AU316" s="157">
        <f>SUM(AH316:AS316)</f>
        <v>0</v>
      </c>
    </row>
    <row r="317" spans="2:47" hidden="1" x14ac:dyDescent="0.25">
      <c r="B317" s="83"/>
      <c r="C317" s="82"/>
      <c r="D317" s="82"/>
      <c r="E317" s="82"/>
      <c r="F317" s="82"/>
      <c r="G317" s="53" t="s">
        <v>37</v>
      </c>
      <c r="H317" s="88" t="s">
        <v>269</v>
      </c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48"/>
      <c r="AD317" s="49"/>
      <c r="AE317" s="74">
        <v>27000000</v>
      </c>
      <c r="AF317" s="127">
        <f>(AE317/AE$13)*100</f>
        <v>0.20462304465865741</v>
      </c>
      <c r="AG317" s="127"/>
      <c r="AH317" s="196"/>
      <c r="AI317" s="188">
        <f>+AE317</f>
        <v>27000000</v>
      </c>
      <c r="AJ317" s="188"/>
      <c r="AK317" s="188"/>
      <c r="AL317" s="189"/>
      <c r="AM317" s="188"/>
      <c r="AN317" s="188"/>
      <c r="AO317" s="183"/>
      <c r="AP317" s="183"/>
      <c r="AQ317" s="183"/>
      <c r="AR317" s="183"/>
      <c r="AS317" s="273"/>
      <c r="AT317" s="156"/>
      <c r="AU317" s="157">
        <f>SUM(AH317:AS317)</f>
        <v>27000000</v>
      </c>
    </row>
    <row r="318" spans="2:47" hidden="1" x14ac:dyDescent="0.25">
      <c r="B318" s="83">
        <v>5</v>
      </c>
      <c r="C318" s="82">
        <v>2</v>
      </c>
      <c r="D318" s="82">
        <v>2</v>
      </c>
      <c r="E318" s="82">
        <v>17</v>
      </c>
      <c r="F318" s="84" t="s">
        <v>10</v>
      </c>
      <c r="G318" s="57" t="s">
        <v>202</v>
      </c>
      <c r="H318" s="58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48"/>
      <c r="AD318" s="49"/>
      <c r="AE318" s="34">
        <f>+AE319</f>
        <v>8640000</v>
      </c>
      <c r="AF318" s="127">
        <f>(AE318/AE$13)*100</f>
        <v>6.5479374290770359E-2</v>
      </c>
      <c r="AG318" s="127"/>
      <c r="AH318" s="196"/>
      <c r="AI318" s="189"/>
      <c r="AJ318" s="188"/>
      <c r="AK318" s="188"/>
      <c r="AL318" s="189"/>
      <c r="AM318" s="188"/>
      <c r="AN318" s="188"/>
      <c r="AO318" s="183"/>
      <c r="AP318" s="183"/>
      <c r="AQ318" s="183"/>
      <c r="AR318" s="183"/>
      <c r="AS318" s="273"/>
      <c r="AT318" s="156"/>
      <c r="AU318" s="157">
        <f t="shared" si="28"/>
        <v>0</v>
      </c>
    </row>
    <row r="319" spans="2:47" hidden="1" x14ac:dyDescent="0.25">
      <c r="B319" s="83"/>
      <c r="C319" s="82"/>
      <c r="D319" s="82"/>
      <c r="E319" s="82"/>
      <c r="F319" s="82"/>
      <c r="G319" s="53" t="s">
        <v>37</v>
      </c>
      <c r="H319" s="88" t="s">
        <v>203</v>
      </c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48"/>
      <c r="AD319" s="49"/>
      <c r="AE319" s="74">
        <v>8640000</v>
      </c>
      <c r="AF319" s="127">
        <f>(AE319/AE$13)*100</f>
        <v>6.5479374290770359E-2</v>
      </c>
      <c r="AG319" s="127"/>
      <c r="AH319" s="196"/>
      <c r="AI319" s="188">
        <f>+AE319</f>
        <v>8640000</v>
      </c>
      <c r="AK319" s="188"/>
      <c r="AL319" s="189"/>
      <c r="AM319" s="188"/>
      <c r="AN319" s="188"/>
      <c r="AO319" s="183"/>
      <c r="AP319" s="183"/>
      <c r="AQ319" s="183"/>
      <c r="AR319" s="183"/>
      <c r="AS319" s="273"/>
      <c r="AT319" s="156"/>
      <c r="AU319" s="157">
        <f t="shared" si="28"/>
        <v>8640000</v>
      </c>
    </row>
    <row r="320" spans="2:47" hidden="1" x14ac:dyDescent="0.25">
      <c r="B320" s="83"/>
      <c r="C320" s="82"/>
      <c r="D320" s="82"/>
      <c r="E320" s="82"/>
      <c r="F320" s="82"/>
      <c r="G320" s="73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48"/>
      <c r="AD320" s="49"/>
      <c r="AE320" s="74"/>
      <c r="AF320" s="127"/>
      <c r="AG320" s="127"/>
      <c r="AH320" s="196"/>
      <c r="AI320" s="189"/>
      <c r="AJ320" s="188"/>
      <c r="AK320" s="188"/>
      <c r="AL320" s="189"/>
      <c r="AM320" s="188"/>
      <c r="AN320" s="188"/>
      <c r="AO320" s="183"/>
      <c r="AP320" s="183"/>
      <c r="AQ320" s="183"/>
      <c r="AR320" s="183"/>
      <c r="AS320" s="273"/>
      <c r="AT320" s="156"/>
      <c r="AU320" s="157">
        <f t="shared" ref="AU320:AU361" si="37">SUM(AH320:AS320)</f>
        <v>0</v>
      </c>
    </row>
    <row r="321" spans="2:47" ht="13.8" hidden="1" thickTop="1" x14ac:dyDescent="0.25">
      <c r="B321" s="235"/>
      <c r="C321" s="236"/>
      <c r="D321" s="236"/>
      <c r="E321" s="236"/>
      <c r="F321" s="236"/>
      <c r="G321" s="242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7"/>
      <c r="S321" s="237"/>
      <c r="T321" s="237"/>
      <c r="U321" s="237"/>
      <c r="V321" s="237"/>
      <c r="W321" s="237"/>
      <c r="X321" s="237"/>
      <c r="Y321" s="237"/>
      <c r="Z321" s="237"/>
      <c r="AA321" s="237"/>
      <c r="AB321" s="237"/>
      <c r="AC321" s="238"/>
      <c r="AD321" s="239"/>
      <c r="AE321" s="257">
        <f>SUM(AH321:AS321)</f>
        <v>1761728100.0000005</v>
      </c>
      <c r="AF321" s="240"/>
      <c r="AG321" s="240"/>
      <c r="AH321" s="241">
        <f t="shared" ref="AH321:AS321" si="38">SUM(AH217:AH320)</f>
        <v>0</v>
      </c>
      <c r="AI321" s="241">
        <f t="shared" si="38"/>
        <v>205009122.22222221</v>
      </c>
      <c r="AJ321" s="241">
        <f t="shared" si="38"/>
        <v>186013122.22222221</v>
      </c>
      <c r="AK321" s="241">
        <f t="shared" si="38"/>
        <v>185458122.22222221</v>
      </c>
      <c r="AL321" s="241">
        <f t="shared" si="38"/>
        <v>264109122.22222221</v>
      </c>
      <c r="AM321" s="241">
        <f t="shared" si="38"/>
        <v>271483122.22222221</v>
      </c>
      <c r="AN321" s="241">
        <f t="shared" si="38"/>
        <v>163469122.22222221</v>
      </c>
      <c r="AO321" s="241">
        <f t="shared" si="38"/>
        <v>184549122.22222221</v>
      </c>
      <c r="AP321" s="241">
        <f t="shared" si="38"/>
        <v>181762122.22222221</v>
      </c>
      <c r="AQ321" s="241">
        <f t="shared" si="38"/>
        <v>91693122.222222209</v>
      </c>
      <c r="AR321" s="241">
        <f t="shared" si="38"/>
        <v>28182000</v>
      </c>
      <c r="AS321" s="278">
        <f t="shared" si="38"/>
        <v>0</v>
      </c>
      <c r="AT321" s="262"/>
      <c r="AU321" s="157">
        <f>SUM(AH321:AS321)</f>
        <v>1761728100.0000005</v>
      </c>
    </row>
    <row r="322" spans="2:47" ht="13.8" hidden="1" thickBot="1" x14ac:dyDescent="0.3">
      <c r="B322" s="99"/>
      <c r="C322" s="100"/>
      <c r="D322" s="100"/>
      <c r="E322" s="100"/>
      <c r="F322" s="100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62"/>
      <c r="AD322" s="244"/>
      <c r="AE322" s="266" t="s">
        <v>225</v>
      </c>
      <c r="AF322" s="245"/>
      <c r="AG322" s="245"/>
      <c r="AH322" s="978">
        <f>+AH321+AI321+AJ321</f>
        <v>391022244.44444442</v>
      </c>
      <c r="AI322" s="979"/>
      <c r="AJ322" s="258"/>
      <c r="AK322" s="980">
        <f>+AK321+AL321+AM321</f>
        <v>721050366.66666663</v>
      </c>
      <c r="AL322" s="981"/>
      <c r="AM322" s="259"/>
      <c r="AN322" s="982">
        <f>+AN321+AO321+AP321</f>
        <v>529780366.66666663</v>
      </c>
      <c r="AO322" s="983"/>
      <c r="AP322" s="260"/>
      <c r="AQ322" s="976">
        <f>+AQ321+AR321+AS321</f>
        <v>119875122.22222221</v>
      </c>
      <c r="AR322" s="977"/>
      <c r="AS322" s="283"/>
      <c r="AT322" s="262"/>
      <c r="AU322" s="157">
        <f t="shared" si="37"/>
        <v>1761728100</v>
      </c>
    </row>
    <row r="323" spans="2:47" s="109" customFormat="1" hidden="1" x14ac:dyDescent="0.25">
      <c r="B323" s="263" t="s">
        <v>222</v>
      </c>
      <c r="C323" s="264"/>
      <c r="D323" s="264"/>
      <c r="E323" s="264"/>
      <c r="F323" s="264"/>
      <c r="G323" s="264"/>
      <c r="H323" s="264"/>
      <c r="I323" s="264" t="s">
        <v>221</v>
      </c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5"/>
      <c r="AE323" s="112">
        <f>AE324</f>
        <v>2002706000</v>
      </c>
      <c r="AF323" s="174">
        <f>(AE323/AE$13)*100</f>
        <v>15.177770343561523</v>
      </c>
      <c r="AG323" s="174"/>
      <c r="AH323" s="202"/>
      <c r="AI323" s="200"/>
      <c r="AJ323" s="199"/>
      <c r="AK323" s="214"/>
      <c r="AL323" s="200"/>
      <c r="AM323" s="199"/>
      <c r="AN323" s="199"/>
      <c r="AO323" s="201"/>
      <c r="AP323" s="201"/>
      <c r="AQ323" s="201"/>
      <c r="AR323" s="201"/>
      <c r="AS323" s="284"/>
      <c r="AT323" s="156"/>
      <c r="AU323" s="157">
        <f t="shared" si="37"/>
        <v>0</v>
      </c>
    </row>
    <row r="324" spans="2:47" s="110" customFormat="1" hidden="1" x14ac:dyDescent="0.25">
      <c r="B324" s="104" t="s">
        <v>223</v>
      </c>
      <c r="C324" s="45"/>
      <c r="D324" s="45"/>
      <c r="E324" s="45"/>
      <c r="F324" s="45"/>
      <c r="G324" s="45"/>
      <c r="H324" s="45"/>
      <c r="I324" s="1028" t="s">
        <v>224</v>
      </c>
      <c r="J324" s="1028"/>
      <c r="K324" s="1028"/>
      <c r="L324" s="1028"/>
      <c r="M324" s="1028"/>
      <c r="N324" s="1028"/>
      <c r="O324" s="1028"/>
      <c r="P324" s="1028"/>
      <c r="Q324" s="1028"/>
      <c r="R324" s="1028"/>
      <c r="S324" s="1028"/>
      <c r="T324" s="1028"/>
      <c r="U324" s="1028"/>
      <c r="V324" s="1028"/>
      <c r="W324" s="1028"/>
      <c r="X324" s="1028"/>
      <c r="Y324" s="1028"/>
      <c r="Z324" s="1028"/>
      <c r="AA324" s="1028"/>
      <c r="AB324" s="1028"/>
      <c r="AC324" s="1028"/>
      <c r="AD324" s="1029"/>
      <c r="AE324" s="111">
        <f>+AE326+AE331</f>
        <v>2002706000</v>
      </c>
      <c r="AF324" s="127">
        <f>(AE324/AE$13)*100</f>
        <v>15.177770343561523</v>
      </c>
      <c r="AG324" s="127"/>
      <c r="AH324" s="203"/>
      <c r="AI324" s="190"/>
      <c r="AJ324" s="188"/>
      <c r="AK324" s="117"/>
      <c r="AL324" s="189"/>
      <c r="AM324" s="188"/>
      <c r="AN324" s="188"/>
      <c r="AO324" s="183"/>
      <c r="AP324" s="183"/>
      <c r="AQ324" s="183"/>
      <c r="AR324" s="183"/>
      <c r="AS324" s="273"/>
      <c r="AT324" s="156"/>
      <c r="AU324" s="157">
        <f t="shared" si="37"/>
        <v>0</v>
      </c>
    </row>
    <row r="325" spans="2:47" hidden="1" x14ac:dyDescent="0.25">
      <c r="B325" s="104"/>
      <c r="C325" s="45"/>
      <c r="D325" s="45"/>
      <c r="E325" s="45"/>
      <c r="F325" s="45"/>
      <c r="G325" s="45"/>
      <c r="H325" s="45"/>
      <c r="I325" s="1030"/>
      <c r="J325" s="1030"/>
      <c r="K325" s="1030"/>
      <c r="L325" s="1030"/>
      <c r="M325" s="1030"/>
      <c r="N325" s="1030"/>
      <c r="O325" s="1030"/>
      <c r="P325" s="1030"/>
      <c r="Q325" s="1030"/>
      <c r="R325" s="1030"/>
      <c r="S325" s="1030"/>
      <c r="T325" s="1030"/>
      <c r="U325" s="1030"/>
      <c r="V325" s="1030"/>
      <c r="W325" s="1030"/>
      <c r="X325" s="1030"/>
      <c r="Y325" s="1030"/>
      <c r="Z325" s="1030"/>
      <c r="AA325" s="1030"/>
      <c r="AB325" s="1030"/>
      <c r="AC325" s="1030"/>
      <c r="AD325" s="1031"/>
      <c r="AE325" s="71"/>
      <c r="AF325" s="127"/>
      <c r="AG325" s="127"/>
      <c r="AH325" s="117"/>
      <c r="AI325" s="189"/>
      <c r="AJ325" s="188"/>
      <c r="AK325" s="117"/>
      <c r="AL325" s="189"/>
      <c r="AM325" s="188"/>
      <c r="AN325" s="188"/>
      <c r="AO325" s="183"/>
      <c r="AP325" s="194"/>
      <c r="AQ325" s="195"/>
      <c r="AR325" s="195"/>
      <c r="AS325" s="276"/>
      <c r="AT325" s="156"/>
      <c r="AU325" s="157">
        <f t="shared" si="37"/>
        <v>0</v>
      </c>
    </row>
    <row r="326" spans="2:47" hidden="1" x14ac:dyDescent="0.25">
      <c r="B326" s="83">
        <v>5</v>
      </c>
      <c r="C326" s="82">
        <v>2</v>
      </c>
      <c r="D326" s="82">
        <v>1</v>
      </c>
      <c r="E326" s="82"/>
      <c r="F326" s="82"/>
      <c r="G326" s="1032" t="s">
        <v>58</v>
      </c>
      <c r="H326" s="1033"/>
      <c r="I326" s="1033"/>
      <c r="J326" s="1033"/>
      <c r="K326" s="1033"/>
      <c r="L326" s="1033"/>
      <c r="M326" s="1033"/>
      <c r="N326" s="1033"/>
      <c r="O326" s="1033"/>
      <c r="P326" s="1033"/>
      <c r="Q326" s="1033"/>
      <c r="R326" s="1033"/>
      <c r="S326" s="1033"/>
      <c r="T326" s="1033"/>
      <c r="U326" s="1033"/>
      <c r="V326" s="1033"/>
      <c r="W326" s="1033"/>
      <c r="X326" s="1033"/>
      <c r="Y326" s="1033"/>
      <c r="Z326" s="1033"/>
      <c r="AA326" s="1033"/>
      <c r="AB326" s="1033"/>
      <c r="AC326" s="1033"/>
      <c r="AD326" s="1034"/>
      <c r="AE326" s="70">
        <f>+AE327</f>
        <v>1626000</v>
      </c>
      <c r="AF326" s="127">
        <f>(AE326/AE$13)*100</f>
        <v>1.2322854467221369E-2</v>
      </c>
      <c r="AG326" s="127"/>
      <c r="AH326" s="116"/>
      <c r="AI326" s="190"/>
      <c r="AJ326" s="188"/>
      <c r="AK326" s="117"/>
      <c r="AL326" s="189"/>
      <c r="AM326" s="188"/>
      <c r="AN326" s="188"/>
      <c r="AO326" s="183"/>
      <c r="AP326" s="183"/>
      <c r="AQ326" s="183"/>
      <c r="AR326" s="183"/>
      <c r="AS326" s="273"/>
      <c r="AT326" s="156"/>
      <c r="AU326" s="157">
        <f t="shared" si="37"/>
        <v>0</v>
      </c>
    </row>
    <row r="327" spans="2:47" hidden="1" x14ac:dyDescent="0.25">
      <c r="B327" s="83">
        <v>5</v>
      </c>
      <c r="C327" s="82">
        <v>2</v>
      </c>
      <c r="D327" s="82">
        <v>1</v>
      </c>
      <c r="E327" s="84" t="s">
        <v>5</v>
      </c>
      <c r="F327" s="82"/>
      <c r="G327" s="53" t="s">
        <v>51</v>
      </c>
      <c r="H327" s="54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50"/>
      <c r="AD327" s="51"/>
      <c r="AE327" s="70">
        <f>+AE328</f>
        <v>1626000</v>
      </c>
      <c r="AF327" s="127">
        <f>(AE327/AE$13)*100</f>
        <v>1.2322854467221369E-2</v>
      </c>
      <c r="AG327" s="127"/>
      <c r="AH327" s="116"/>
      <c r="AI327" s="190"/>
      <c r="AJ327" s="188"/>
      <c r="AK327" s="117"/>
      <c r="AL327" s="189"/>
      <c r="AM327" s="188"/>
      <c r="AN327" s="188"/>
      <c r="AO327" s="183"/>
      <c r="AP327" s="183"/>
      <c r="AQ327" s="183"/>
      <c r="AR327" s="183"/>
      <c r="AS327" s="273"/>
      <c r="AT327" s="156"/>
      <c r="AU327" s="157">
        <f t="shared" si="37"/>
        <v>0</v>
      </c>
    </row>
    <row r="328" spans="2:47" hidden="1" x14ac:dyDescent="0.25">
      <c r="B328" s="83">
        <v>5</v>
      </c>
      <c r="C328" s="82">
        <v>2</v>
      </c>
      <c r="D328" s="82">
        <v>1</v>
      </c>
      <c r="E328" s="84" t="s">
        <v>5</v>
      </c>
      <c r="F328" s="84" t="s">
        <v>5</v>
      </c>
      <c r="G328" s="53" t="s">
        <v>60</v>
      </c>
      <c r="H328" s="54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50"/>
      <c r="AD328" s="51"/>
      <c r="AE328" s="71">
        <f>+AE329</f>
        <v>1626000</v>
      </c>
      <c r="AF328" s="127">
        <f>(AE328/AE$13)*100</f>
        <v>1.2322854467221369E-2</v>
      </c>
      <c r="AG328" s="127"/>
      <c r="AH328" s="196"/>
      <c r="AI328" s="190"/>
      <c r="AJ328" s="188"/>
      <c r="AK328" s="117"/>
      <c r="AL328" s="189"/>
      <c r="AM328" s="188"/>
      <c r="AN328" s="188"/>
      <c r="AO328" s="183"/>
      <c r="AP328" s="183"/>
      <c r="AQ328" s="183"/>
      <c r="AR328" s="183"/>
      <c r="AS328" s="273"/>
      <c r="AT328" s="156"/>
      <c r="AU328" s="157">
        <f t="shared" si="37"/>
        <v>0</v>
      </c>
    </row>
    <row r="329" spans="2:47" hidden="1" x14ac:dyDescent="0.25">
      <c r="B329" s="83"/>
      <c r="C329" s="82"/>
      <c r="D329" s="82"/>
      <c r="E329" s="82"/>
      <c r="F329" s="82"/>
      <c r="G329" s="53" t="s">
        <v>37</v>
      </c>
      <c r="H329" s="54" t="s">
        <v>154</v>
      </c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50"/>
      <c r="AD329" s="51"/>
      <c r="AE329" s="71">
        <v>1626000</v>
      </c>
      <c r="AF329" s="127">
        <f>(AE329/AE$13)*100</f>
        <v>1.2322854467221369E-2</v>
      </c>
      <c r="AG329" s="127"/>
      <c r="AH329" s="196"/>
      <c r="AI329" s="190"/>
      <c r="AJ329" s="188"/>
      <c r="AK329" s="188">
        <f>+AE329</f>
        <v>1626000</v>
      </c>
      <c r="AL329" s="189"/>
      <c r="AM329" s="188"/>
      <c r="AN329" s="188"/>
      <c r="AO329" s="183"/>
      <c r="AP329" s="183"/>
      <c r="AQ329" s="183"/>
      <c r="AR329" s="183"/>
      <c r="AS329" s="273"/>
      <c r="AT329" s="156"/>
      <c r="AU329" s="157">
        <f t="shared" si="37"/>
        <v>1626000</v>
      </c>
    </row>
    <row r="330" spans="2:47" hidden="1" x14ac:dyDescent="0.25">
      <c r="B330" s="83"/>
      <c r="C330" s="82"/>
      <c r="D330" s="82"/>
      <c r="E330" s="82"/>
      <c r="F330" s="82"/>
      <c r="G330" s="96"/>
      <c r="H330" s="54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50"/>
      <c r="AD330" s="51"/>
      <c r="AE330" s="71"/>
      <c r="AF330" s="127"/>
      <c r="AG330" s="127"/>
      <c r="AH330" s="196"/>
      <c r="AI330" s="189"/>
      <c r="AJ330" s="188"/>
      <c r="AK330" s="188"/>
      <c r="AL330" s="189"/>
      <c r="AM330" s="188"/>
      <c r="AN330" s="188"/>
      <c r="AO330" s="183"/>
      <c r="AP330" s="194"/>
      <c r="AQ330" s="195"/>
      <c r="AR330" s="195"/>
      <c r="AS330" s="276"/>
      <c r="AT330" s="156"/>
      <c r="AU330" s="157">
        <f t="shared" si="37"/>
        <v>0</v>
      </c>
    </row>
    <row r="331" spans="2:47" hidden="1" x14ac:dyDescent="0.25">
      <c r="B331" s="83">
        <v>5</v>
      </c>
      <c r="C331" s="82">
        <v>2</v>
      </c>
      <c r="D331" s="82">
        <v>3</v>
      </c>
      <c r="E331" s="82"/>
      <c r="F331" s="82"/>
      <c r="G331" s="57" t="s">
        <v>155</v>
      </c>
      <c r="H331" s="54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50"/>
      <c r="AD331" s="51"/>
      <c r="AE331" s="70">
        <f>+AE332</f>
        <v>2001080000</v>
      </c>
      <c r="AF331" s="127">
        <f>(AE331/AE$13)*100</f>
        <v>15.165447489094303</v>
      </c>
      <c r="AG331" s="127"/>
      <c r="AH331" s="116"/>
      <c r="AI331" s="190"/>
      <c r="AJ331" s="188"/>
      <c r="AK331" s="117"/>
      <c r="AL331" s="189"/>
      <c r="AM331" s="188"/>
      <c r="AN331" s="188"/>
      <c r="AO331" s="183"/>
      <c r="AP331" s="183"/>
      <c r="AQ331" s="183"/>
      <c r="AR331" s="183"/>
      <c r="AS331" s="273"/>
      <c r="AT331" s="156"/>
      <c r="AU331" s="157">
        <f t="shared" si="37"/>
        <v>0</v>
      </c>
    </row>
    <row r="332" spans="2:47" hidden="1" x14ac:dyDescent="0.25">
      <c r="B332" s="83">
        <v>5</v>
      </c>
      <c r="C332" s="82">
        <v>2</v>
      </c>
      <c r="D332" s="82">
        <v>3</v>
      </c>
      <c r="E332" s="84">
        <v>23</v>
      </c>
      <c r="F332" s="82"/>
      <c r="G332" s="53" t="s">
        <v>156</v>
      </c>
      <c r="H332" s="54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50"/>
      <c r="AD332" s="51"/>
      <c r="AE332" s="70">
        <f>+AE333+AE335</f>
        <v>2001080000</v>
      </c>
      <c r="AF332" s="127">
        <f>(AE332/AE$13)*100</f>
        <v>15.165447489094303</v>
      </c>
      <c r="AG332" s="127"/>
      <c r="AH332" s="116"/>
      <c r="AI332" s="190"/>
      <c r="AJ332" s="188"/>
      <c r="AK332" s="117"/>
      <c r="AL332" s="189"/>
      <c r="AM332" s="188"/>
      <c r="AN332" s="188"/>
      <c r="AO332" s="183"/>
      <c r="AP332" s="183"/>
      <c r="AQ332" s="183"/>
      <c r="AR332" s="183"/>
      <c r="AS332" s="273"/>
      <c r="AT332" s="156"/>
      <c r="AU332" s="157">
        <f t="shared" si="37"/>
        <v>0</v>
      </c>
    </row>
    <row r="333" spans="2:47" hidden="1" x14ac:dyDescent="0.25">
      <c r="B333" s="83">
        <v>5</v>
      </c>
      <c r="C333" s="82">
        <v>2</v>
      </c>
      <c r="D333" s="82">
        <v>3</v>
      </c>
      <c r="E333" s="84">
        <v>23</v>
      </c>
      <c r="F333" s="84" t="s">
        <v>52</v>
      </c>
      <c r="G333" s="53" t="s">
        <v>157</v>
      </c>
      <c r="H333" s="54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50"/>
      <c r="AD333" s="51"/>
      <c r="AE333" s="71">
        <f>+AE334+AE336+AE339+AE343+AE346+AE349+AE353+AE356</f>
        <v>2001080000</v>
      </c>
      <c r="AF333" s="127">
        <f>(AE333/AE$13)*100</f>
        <v>15.165447489094303</v>
      </c>
      <c r="AG333" s="127"/>
      <c r="AH333" s="196"/>
      <c r="AI333" s="190"/>
      <c r="AJ333" s="188"/>
      <c r="AK333" s="188"/>
      <c r="AL333" s="189"/>
      <c r="AM333" s="188"/>
      <c r="AN333" s="188"/>
      <c r="AO333" s="183"/>
      <c r="AP333" s="183"/>
      <c r="AQ333" s="183"/>
      <c r="AR333" s="183"/>
      <c r="AS333" s="273"/>
      <c r="AT333" s="156"/>
      <c r="AU333" s="157">
        <f t="shared" si="37"/>
        <v>0</v>
      </c>
    </row>
    <row r="334" spans="2:47" hidden="1" x14ac:dyDescent="0.25">
      <c r="B334" s="83"/>
      <c r="C334" s="82"/>
      <c r="D334" s="82"/>
      <c r="E334" s="82"/>
      <c r="F334" s="82"/>
      <c r="G334" s="96" t="s">
        <v>37</v>
      </c>
      <c r="H334" s="54" t="s">
        <v>158</v>
      </c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50"/>
      <c r="AD334" s="51"/>
      <c r="AE334" s="71">
        <v>1729000000</v>
      </c>
      <c r="AF334" s="127">
        <f>(AE334/AE$13)*100</f>
        <v>13.103453489437728</v>
      </c>
      <c r="AG334" s="127"/>
      <c r="AH334" s="196"/>
      <c r="AI334" s="189"/>
      <c r="AJ334" s="188"/>
      <c r="AK334" s="188"/>
      <c r="AL334" s="189"/>
      <c r="AM334" s="188">
        <f>0.3*AE334</f>
        <v>518700000</v>
      </c>
      <c r="AN334" s="183">
        <f>0.5*AE334-(0.5*AM334)</f>
        <v>605150000</v>
      </c>
      <c r="AO334" s="183">
        <f>+AN334</f>
        <v>605150000</v>
      </c>
      <c r="AP334" s="318"/>
      <c r="AQ334" s="195"/>
      <c r="AR334" s="195"/>
      <c r="AS334" s="276"/>
      <c r="AT334" s="262"/>
      <c r="AU334" s="157">
        <f t="shared" si="37"/>
        <v>1729000000</v>
      </c>
    </row>
    <row r="335" spans="2:47" hidden="1" x14ac:dyDescent="0.25">
      <c r="B335" s="83"/>
      <c r="C335" s="82"/>
      <c r="D335" s="82"/>
      <c r="E335" s="84"/>
      <c r="F335" s="84"/>
      <c r="G335" s="53"/>
      <c r="H335" s="54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50"/>
      <c r="AD335" s="51"/>
      <c r="AE335" s="71"/>
      <c r="AF335" s="127"/>
      <c r="AG335" s="127"/>
      <c r="AH335" s="116"/>
      <c r="AI335" s="190"/>
      <c r="AJ335" s="188"/>
      <c r="AK335" s="188"/>
      <c r="AL335" s="189"/>
      <c r="AM335" s="188"/>
      <c r="AN335" s="188"/>
      <c r="AO335" s="183"/>
      <c r="AP335" s="183"/>
      <c r="AQ335" s="183"/>
      <c r="AR335" s="183"/>
      <c r="AS335" s="273"/>
      <c r="AT335" s="156"/>
      <c r="AU335" s="157">
        <f t="shared" si="37"/>
        <v>0</v>
      </c>
    </row>
    <row r="336" spans="2:47" hidden="1" x14ac:dyDescent="0.25">
      <c r="B336" s="83"/>
      <c r="C336" s="82"/>
      <c r="D336" s="82"/>
      <c r="E336" s="84"/>
      <c r="F336" s="84"/>
      <c r="G336" s="53" t="s">
        <v>159</v>
      </c>
      <c r="H336" s="54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50"/>
      <c r="AD336" s="51"/>
      <c r="AE336" s="71">
        <f>+AE337</f>
        <v>350000</v>
      </c>
      <c r="AF336" s="127">
        <f>(AE336/AE$13)*100</f>
        <v>2.6525209492788923E-3</v>
      </c>
      <c r="AG336" s="127"/>
      <c r="AH336" s="116"/>
      <c r="AI336" s="190"/>
      <c r="AJ336" s="188"/>
      <c r="AK336" s="188"/>
      <c r="AL336" s="189"/>
      <c r="AM336" s="188"/>
      <c r="AN336" s="188"/>
      <c r="AO336" s="183"/>
      <c r="AP336" s="183"/>
      <c r="AQ336" s="183"/>
      <c r="AR336" s="183"/>
      <c r="AS336" s="273"/>
      <c r="AT336" s="156"/>
      <c r="AU336" s="157">
        <f t="shared" si="37"/>
        <v>0</v>
      </c>
    </row>
    <row r="337" spans="2:47" hidden="1" x14ac:dyDescent="0.25">
      <c r="B337" s="83"/>
      <c r="C337" s="82"/>
      <c r="D337" s="82"/>
      <c r="E337" s="84"/>
      <c r="F337" s="84"/>
      <c r="G337" s="96" t="s">
        <v>37</v>
      </c>
      <c r="H337" s="54" t="s">
        <v>160</v>
      </c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50"/>
      <c r="AD337" s="51"/>
      <c r="AE337" s="71">
        <v>350000</v>
      </c>
      <c r="AF337" s="127">
        <f>(AE337/AE$13)*100</f>
        <v>2.6525209492788923E-3</v>
      </c>
      <c r="AG337" s="127"/>
      <c r="AH337" s="116"/>
      <c r="AI337" s="190"/>
      <c r="AJ337" s="188"/>
      <c r="AK337" s="188"/>
      <c r="AL337" s="189"/>
      <c r="AM337" s="188">
        <f>+AE337</f>
        <v>350000</v>
      </c>
      <c r="AN337" s="188"/>
      <c r="AO337" s="183"/>
      <c r="AP337" s="183"/>
      <c r="AQ337" s="183"/>
      <c r="AR337" s="183"/>
      <c r="AS337" s="273"/>
      <c r="AT337" s="156"/>
      <c r="AU337" s="157">
        <f t="shared" si="37"/>
        <v>350000</v>
      </c>
    </row>
    <row r="338" spans="2:47" hidden="1" x14ac:dyDescent="0.25">
      <c r="B338" s="83"/>
      <c r="C338" s="82"/>
      <c r="D338" s="82"/>
      <c r="E338" s="84"/>
      <c r="F338" s="84"/>
      <c r="G338" s="53"/>
      <c r="H338" s="54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50"/>
      <c r="AD338" s="51"/>
      <c r="AE338" s="70"/>
      <c r="AF338" s="127"/>
      <c r="AG338" s="127"/>
      <c r="AH338" s="116"/>
      <c r="AI338" s="190"/>
      <c r="AJ338" s="188"/>
      <c r="AK338" s="188"/>
      <c r="AL338" s="189"/>
      <c r="AM338" s="188"/>
      <c r="AN338" s="188"/>
      <c r="AO338" s="183"/>
      <c r="AP338" s="183"/>
      <c r="AQ338" s="183"/>
      <c r="AR338" s="183"/>
      <c r="AS338" s="273"/>
      <c r="AT338" s="156"/>
      <c r="AU338" s="157">
        <f t="shared" si="37"/>
        <v>0</v>
      </c>
    </row>
    <row r="339" spans="2:47" hidden="1" x14ac:dyDescent="0.25">
      <c r="B339" s="83"/>
      <c r="C339" s="82"/>
      <c r="D339" s="82"/>
      <c r="E339" s="84"/>
      <c r="F339" s="84"/>
      <c r="G339" s="53" t="s">
        <v>139</v>
      </c>
      <c r="H339" s="54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50"/>
      <c r="AD339" s="51"/>
      <c r="AE339" s="71">
        <f>SUM(AE340:AE341)</f>
        <v>4360000</v>
      </c>
      <c r="AF339" s="127">
        <f>(AE339/AE$13)*100</f>
        <v>3.3042832396731343E-2</v>
      </c>
      <c r="AG339" s="127"/>
      <c r="AH339" s="116"/>
      <c r="AI339" s="190"/>
      <c r="AJ339" s="188"/>
      <c r="AK339" s="188"/>
      <c r="AL339" s="189"/>
      <c r="AM339" s="188"/>
      <c r="AN339" s="188"/>
      <c r="AO339" s="183"/>
      <c r="AP339" s="183"/>
      <c r="AQ339" s="183"/>
      <c r="AR339" s="183"/>
      <c r="AS339" s="273"/>
      <c r="AT339" s="156"/>
      <c r="AU339" s="157">
        <f t="shared" si="37"/>
        <v>0</v>
      </c>
    </row>
    <row r="340" spans="2:47" hidden="1" x14ac:dyDescent="0.25">
      <c r="B340" s="83"/>
      <c r="C340" s="82"/>
      <c r="D340" s="82"/>
      <c r="E340" s="84"/>
      <c r="F340" s="84"/>
      <c r="G340" s="96" t="s">
        <v>37</v>
      </c>
      <c r="H340" s="54" t="s">
        <v>161</v>
      </c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50"/>
      <c r="AD340" s="51"/>
      <c r="AE340" s="71">
        <v>3010000</v>
      </c>
      <c r="AF340" s="127">
        <f>(AE340/AE$13)*100</f>
        <v>2.2811680163798476E-2</v>
      </c>
      <c r="AG340" s="127"/>
      <c r="AH340" s="116"/>
      <c r="AI340" s="190"/>
      <c r="AJ340" s="188"/>
      <c r="AK340" s="188"/>
      <c r="AL340" s="189"/>
      <c r="AM340" s="188"/>
      <c r="AN340" s="188"/>
      <c r="AO340" s="183">
        <f>+AE340</f>
        <v>3010000</v>
      </c>
      <c r="AQ340" s="183"/>
      <c r="AR340" s="183"/>
      <c r="AS340" s="273"/>
      <c r="AT340" s="156"/>
      <c r="AU340" s="157">
        <f t="shared" si="37"/>
        <v>3010000</v>
      </c>
    </row>
    <row r="341" spans="2:47" hidden="1" x14ac:dyDescent="0.25">
      <c r="B341" s="83"/>
      <c r="C341" s="82"/>
      <c r="D341" s="82"/>
      <c r="E341" s="84"/>
      <c r="F341" s="84"/>
      <c r="G341" s="96" t="s">
        <v>37</v>
      </c>
      <c r="H341" s="54" t="s">
        <v>162</v>
      </c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50"/>
      <c r="AD341" s="51"/>
      <c r="AE341" s="71">
        <v>1350000</v>
      </c>
      <c r="AF341" s="127">
        <f>(AE341/AE$13)*100</f>
        <v>1.0231152232932871E-2</v>
      </c>
      <c r="AG341" s="127"/>
      <c r="AH341" s="116"/>
      <c r="AI341" s="190"/>
      <c r="AJ341" s="188"/>
      <c r="AK341" s="188"/>
      <c r="AL341" s="189">
        <f>+AE341</f>
        <v>1350000</v>
      </c>
      <c r="AM341" s="188"/>
      <c r="AN341" s="188"/>
      <c r="AO341" s="183"/>
      <c r="AP341" s="183"/>
      <c r="AQ341" s="183"/>
      <c r="AR341" s="183"/>
      <c r="AS341" s="273"/>
      <c r="AT341" s="156"/>
      <c r="AU341" s="157">
        <f t="shared" si="37"/>
        <v>1350000</v>
      </c>
    </row>
    <row r="342" spans="2:47" hidden="1" x14ac:dyDescent="0.25">
      <c r="B342" s="83"/>
      <c r="C342" s="82"/>
      <c r="D342" s="82"/>
      <c r="E342" s="84"/>
      <c r="F342" s="84"/>
      <c r="G342" s="53"/>
      <c r="H342" s="54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50"/>
      <c r="AD342" s="51"/>
      <c r="AE342" s="70"/>
      <c r="AF342" s="127"/>
      <c r="AG342" s="127"/>
      <c r="AH342" s="116"/>
      <c r="AI342" s="190"/>
      <c r="AJ342" s="188"/>
      <c r="AK342" s="188"/>
      <c r="AL342" s="189"/>
      <c r="AM342" s="188"/>
      <c r="AN342" s="188"/>
      <c r="AO342" s="183"/>
      <c r="AP342" s="183"/>
      <c r="AQ342" s="183"/>
      <c r="AR342" s="183"/>
      <c r="AS342" s="273"/>
      <c r="AT342" s="156"/>
      <c r="AU342" s="157">
        <f t="shared" si="37"/>
        <v>0</v>
      </c>
    </row>
    <row r="343" spans="2:47" hidden="1" x14ac:dyDescent="0.25">
      <c r="B343" s="83"/>
      <c r="C343" s="82"/>
      <c r="D343" s="82"/>
      <c r="E343" s="84"/>
      <c r="F343" s="84"/>
      <c r="G343" s="53" t="s">
        <v>59</v>
      </c>
      <c r="H343" s="54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50"/>
      <c r="AD343" s="51"/>
      <c r="AE343" s="71">
        <f>+AE344</f>
        <v>4700000</v>
      </c>
      <c r="AF343" s="127">
        <f>(AE343/AE$13)*100</f>
        <v>3.5619567033173698E-2</v>
      </c>
      <c r="AG343" s="127"/>
      <c r="AH343" s="116"/>
      <c r="AI343" s="190"/>
      <c r="AJ343" s="188"/>
      <c r="AK343" s="188"/>
      <c r="AL343" s="189"/>
      <c r="AM343" s="208"/>
      <c r="AN343" s="188"/>
      <c r="AO343" s="183"/>
      <c r="AP343" s="183"/>
      <c r="AQ343" s="72"/>
      <c r="AR343" s="183"/>
      <c r="AS343" s="273"/>
      <c r="AT343" s="156"/>
      <c r="AU343" s="157">
        <f t="shared" si="37"/>
        <v>0</v>
      </c>
    </row>
    <row r="344" spans="2:47" hidden="1" x14ac:dyDescent="0.25">
      <c r="B344" s="83"/>
      <c r="C344" s="82"/>
      <c r="D344" s="82"/>
      <c r="E344" s="84"/>
      <c r="F344" s="84"/>
      <c r="G344" s="96" t="s">
        <v>37</v>
      </c>
      <c r="H344" s="54" t="s">
        <v>163</v>
      </c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50"/>
      <c r="AD344" s="51"/>
      <c r="AE344" s="71">
        <v>4700000</v>
      </c>
      <c r="AF344" s="127">
        <f>(AE344/AE$13)*100</f>
        <v>3.5619567033173698E-2</v>
      </c>
      <c r="AG344" s="127"/>
      <c r="AH344" s="190">
        <v>1500000</v>
      </c>
      <c r="AI344" s="190"/>
      <c r="AJ344" s="188"/>
      <c r="AK344" s="188"/>
      <c r="AL344" s="189"/>
      <c r="AM344" s="188">
        <v>1700000</v>
      </c>
      <c r="AN344" s="188"/>
      <c r="AO344" s="183"/>
      <c r="AP344" s="183"/>
      <c r="AQ344" s="183">
        <f>+AE344-AH344-AM344</f>
        <v>1500000</v>
      </c>
      <c r="AR344" s="183"/>
      <c r="AS344" s="273"/>
      <c r="AT344" s="156"/>
      <c r="AU344" s="157">
        <f t="shared" si="37"/>
        <v>4700000</v>
      </c>
    </row>
    <row r="345" spans="2:47" hidden="1" x14ac:dyDescent="0.25">
      <c r="B345" s="83"/>
      <c r="C345" s="82"/>
      <c r="D345" s="82"/>
      <c r="E345" s="84"/>
      <c r="F345" s="84"/>
      <c r="G345" s="53"/>
      <c r="H345" s="54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50"/>
      <c r="AD345" s="51"/>
      <c r="AE345" s="70"/>
      <c r="AF345" s="127"/>
      <c r="AG345" s="127"/>
      <c r="AH345" s="116"/>
      <c r="AI345" s="190"/>
      <c r="AJ345" s="188"/>
      <c r="AK345" s="188"/>
      <c r="AL345" s="189"/>
      <c r="AM345" s="188"/>
      <c r="AN345" s="188"/>
      <c r="AO345" s="183"/>
      <c r="AP345" s="183"/>
      <c r="AQ345" s="183"/>
      <c r="AR345" s="183"/>
      <c r="AS345" s="273"/>
      <c r="AT345" s="156"/>
      <c r="AU345" s="157">
        <f t="shared" si="37"/>
        <v>0</v>
      </c>
    </row>
    <row r="346" spans="2:47" hidden="1" x14ac:dyDescent="0.25">
      <c r="B346" s="83"/>
      <c r="C346" s="82"/>
      <c r="D346" s="82"/>
      <c r="E346" s="84"/>
      <c r="F346" s="84"/>
      <c r="G346" s="53" t="s">
        <v>164</v>
      </c>
      <c r="H346" s="54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50"/>
      <c r="AD346" s="51"/>
      <c r="AE346" s="71">
        <f>+AE347</f>
        <v>1000000</v>
      </c>
      <c r="AF346" s="127">
        <f>(AE346/AE$13)*100</f>
        <v>7.5786312836539776E-3</v>
      </c>
      <c r="AG346" s="127"/>
      <c r="AH346" s="116"/>
      <c r="AI346" s="190"/>
      <c r="AJ346" s="188"/>
      <c r="AK346" s="188"/>
      <c r="AL346" s="189"/>
      <c r="AM346" s="188"/>
      <c r="AN346" s="188"/>
      <c r="AO346" s="183"/>
      <c r="AP346" s="183"/>
      <c r="AQ346" s="183"/>
      <c r="AR346" s="183"/>
      <c r="AS346" s="273"/>
      <c r="AT346" s="156"/>
      <c r="AU346" s="157">
        <f t="shared" si="37"/>
        <v>0</v>
      </c>
    </row>
    <row r="347" spans="2:47" hidden="1" x14ac:dyDescent="0.25">
      <c r="B347" s="83"/>
      <c r="C347" s="82"/>
      <c r="D347" s="82"/>
      <c r="E347" s="84"/>
      <c r="F347" s="84"/>
      <c r="G347" s="96" t="s">
        <v>37</v>
      </c>
      <c r="H347" s="54" t="s">
        <v>165</v>
      </c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50"/>
      <c r="AD347" s="51"/>
      <c r="AE347" s="71">
        <v>1000000</v>
      </c>
      <c r="AF347" s="127">
        <f>(AE347/AE$13)*100</f>
        <v>7.5786312836539776E-3</v>
      </c>
      <c r="AG347" s="127"/>
      <c r="AH347" s="116"/>
      <c r="AI347" s="190"/>
      <c r="AJ347" s="188"/>
      <c r="AK347" s="188">
        <f>+AE347/2</f>
        <v>500000</v>
      </c>
      <c r="AL347" s="189"/>
      <c r="AM347" s="188"/>
      <c r="AN347" s="188"/>
      <c r="AO347" s="183"/>
      <c r="AP347" s="183">
        <f>+AK347</f>
        <v>500000</v>
      </c>
      <c r="AQ347" s="183"/>
      <c r="AR347" s="183"/>
      <c r="AS347" s="273"/>
      <c r="AT347" s="156"/>
      <c r="AU347" s="157">
        <f t="shared" si="37"/>
        <v>1000000</v>
      </c>
    </row>
    <row r="348" spans="2:47" hidden="1" x14ac:dyDescent="0.25">
      <c r="B348" s="83"/>
      <c r="C348" s="82"/>
      <c r="D348" s="82"/>
      <c r="E348" s="84"/>
      <c r="F348" s="84"/>
      <c r="G348" s="53"/>
      <c r="H348" s="54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50"/>
      <c r="AD348" s="51"/>
      <c r="AE348" s="70"/>
      <c r="AF348" s="127"/>
      <c r="AG348" s="127"/>
      <c r="AH348" s="116"/>
      <c r="AI348" s="190"/>
      <c r="AJ348" s="188"/>
      <c r="AK348" s="188"/>
      <c r="AL348" s="189"/>
      <c r="AM348" s="188"/>
      <c r="AN348" s="188"/>
      <c r="AO348" s="183"/>
      <c r="AP348" s="183"/>
      <c r="AQ348" s="183"/>
      <c r="AR348" s="183"/>
      <c r="AS348" s="273"/>
      <c r="AT348" s="156"/>
      <c r="AU348" s="157">
        <f t="shared" si="37"/>
        <v>0</v>
      </c>
    </row>
    <row r="349" spans="2:47" hidden="1" x14ac:dyDescent="0.25">
      <c r="B349" s="83"/>
      <c r="C349" s="82"/>
      <c r="D349" s="82"/>
      <c r="E349" s="84"/>
      <c r="F349" s="84"/>
      <c r="G349" s="53" t="s">
        <v>16</v>
      </c>
      <c r="H349" s="54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50"/>
      <c r="AD349" s="51"/>
      <c r="AE349" s="71">
        <f>SUM(AE350:AE351)</f>
        <v>950000</v>
      </c>
      <c r="AF349" s="127">
        <f>(AE349/AE$13)*100</f>
        <v>7.1996997194712798E-3</v>
      </c>
      <c r="AG349" s="127"/>
      <c r="AH349" s="116"/>
      <c r="AI349" s="190"/>
      <c r="AJ349" s="188"/>
      <c r="AK349" s="188"/>
      <c r="AL349" s="189"/>
      <c r="AM349" s="188"/>
      <c r="AN349" s="188"/>
      <c r="AO349" s="183"/>
      <c r="AP349" s="183"/>
      <c r="AQ349" s="183"/>
      <c r="AR349" s="183"/>
      <c r="AS349" s="273"/>
      <c r="AT349" s="156"/>
      <c r="AU349" s="157">
        <f t="shared" si="37"/>
        <v>0</v>
      </c>
    </row>
    <row r="350" spans="2:47" hidden="1" x14ac:dyDescent="0.25">
      <c r="B350" s="83"/>
      <c r="C350" s="82"/>
      <c r="D350" s="82"/>
      <c r="E350" s="84"/>
      <c r="F350" s="84"/>
      <c r="G350" s="96" t="s">
        <v>37</v>
      </c>
      <c r="H350" s="54" t="s">
        <v>166</v>
      </c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50"/>
      <c r="AD350" s="51"/>
      <c r="AE350" s="71">
        <v>750000</v>
      </c>
      <c r="AF350" s="127">
        <f>(AE350/AE$13)*100</f>
        <v>5.6839734627404832E-3</v>
      </c>
      <c r="AG350" s="127"/>
      <c r="AH350" s="116"/>
      <c r="AI350" s="190"/>
      <c r="AJ350" s="188"/>
      <c r="AK350" s="188"/>
      <c r="AL350" s="189"/>
      <c r="AM350" s="188"/>
      <c r="AN350" s="188">
        <f>+AE350</f>
        <v>750000</v>
      </c>
      <c r="AO350" s="183"/>
      <c r="AP350" s="183"/>
      <c r="AQ350" s="183"/>
      <c r="AR350" s="183"/>
      <c r="AS350" s="273"/>
      <c r="AT350" s="156"/>
      <c r="AU350" s="157">
        <f t="shared" si="37"/>
        <v>750000</v>
      </c>
    </row>
    <row r="351" spans="2:47" hidden="1" x14ac:dyDescent="0.25">
      <c r="B351" s="83"/>
      <c r="C351" s="82"/>
      <c r="D351" s="82"/>
      <c r="E351" s="84"/>
      <c r="F351" s="84"/>
      <c r="G351" s="312" t="s">
        <v>37</v>
      </c>
      <c r="H351" s="313" t="s">
        <v>265</v>
      </c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  <c r="AA351" s="314"/>
      <c r="AB351" s="314"/>
      <c r="AC351" s="315"/>
      <c r="AD351" s="316"/>
      <c r="AE351" s="317">
        <v>200000</v>
      </c>
      <c r="AF351" s="174">
        <f>(AE351/AE$13)*100</f>
        <v>1.5157262567307955E-3</v>
      </c>
      <c r="AG351" s="174"/>
      <c r="AH351" s="202"/>
      <c r="AI351" s="190"/>
      <c r="AJ351" s="188"/>
      <c r="AK351" s="188"/>
      <c r="AL351" s="189"/>
      <c r="AM351" s="188"/>
      <c r="AN351" s="188"/>
      <c r="AO351" s="183">
        <f>+AE351</f>
        <v>200000</v>
      </c>
      <c r="AP351" s="183"/>
      <c r="AQ351" s="183"/>
      <c r="AR351" s="183"/>
      <c r="AS351" s="273"/>
      <c r="AT351" s="156"/>
      <c r="AU351" s="157">
        <f t="shared" si="37"/>
        <v>200000</v>
      </c>
    </row>
    <row r="352" spans="2:47" hidden="1" x14ac:dyDescent="0.25">
      <c r="B352" s="83"/>
      <c r="C352" s="82"/>
      <c r="D352" s="82"/>
      <c r="E352" s="84"/>
      <c r="F352" s="84"/>
      <c r="G352" s="53"/>
      <c r="H352" s="54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50"/>
      <c r="AD352" s="51"/>
      <c r="AE352" s="70"/>
      <c r="AF352" s="127"/>
      <c r="AG352" s="127"/>
      <c r="AH352" s="116"/>
      <c r="AI352" s="190"/>
      <c r="AJ352" s="188"/>
      <c r="AK352" s="188"/>
      <c r="AL352" s="189"/>
      <c r="AM352" s="188"/>
      <c r="AN352" s="188"/>
      <c r="AO352" s="183"/>
      <c r="AP352" s="183"/>
      <c r="AQ352" s="183"/>
      <c r="AR352" s="183"/>
      <c r="AS352" s="273"/>
      <c r="AT352" s="156"/>
      <c r="AU352" s="157">
        <f t="shared" si="37"/>
        <v>0</v>
      </c>
    </row>
    <row r="353" spans="2:68" hidden="1" x14ac:dyDescent="0.25">
      <c r="B353" s="83"/>
      <c r="C353" s="82"/>
      <c r="D353" s="82"/>
      <c r="E353" s="84"/>
      <c r="F353" s="84"/>
      <c r="G353" s="53" t="s">
        <v>133</v>
      </c>
      <c r="H353" s="54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50"/>
      <c r="AD353" s="51"/>
      <c r="AE353" s="71">
        <f>+AE354</f>
        <v>10720000</v>
      </c>
      <c r="AF353" s="127">
        <f>(AE353/AE$13)*100</f>
        <v>8.1242927360770642E-2</v>
      </c>
      <c r="AG353" s="127"/>
      <c r="AH353" s="116"/>
      <c r="AI353" s="190"/>
      <c r="AJ353" s="188"/>
      <c r="AK353" s="188"/>
      <c r="AL353" s="189"/>
      <c r="AM353" s="188"/>
      <c r="AN353" s="188"/>
      <c r="AO353" s="183"/>
      <c r="AP353" s="183"/>
      <c r="AQ353" s="183"/>
      <c r="AR353" s="183"/>
      <c r="AS353" s="273"/>
      <c r="AT353" s="156"/>
      <c r="AU353" s="157">
        <f t="shared" si="37"/>
        <v>0</v>
      </c>
    </row>
    <row r="354" spans="2:68" hidden="1" x14ac:dyDescent="0.25">
      <c r="B354" s="83"/>
      <c r="C354" s="82"/>
      <c r="D354" s="82"/>
      <c r="E354" s="84"/>
      <c r="F354" s="84"/>
      <c r="G354" s="96" t="s">
        <v>37</v>
      </c>
      <c r="H354" s="54" t="s">
        <v>167</v>
      </c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50"/>
      <c r="AD354" s="51"/>
      <c r="AE354" s="71">
        <v>10720000</v>
      </c>
      <c r="AF354" s="127">
        <f>(AE354/AE$13)*100</f>
        <v>8.1242927360770642E-2</v>
      </c>
      <c r="AG354" s="127"/>
      <c r="AH354" s="116"/>
      <c r="AI354" s="190">
        <v>2500000</v>
      </c>
      <c r="AJ354" s="188"/>
      <c r="AK354" s="188">
        <f>+AI354</f>
        <v>2500000</v>
      </c>
      <c r="AL354" s="189"/>
      <c r="AM354" s="188">
        <f>+AK354</f>
        <v>2500000</v>
      </c>
      <c r="AN354" s="188"/>
      <c r="AO354" s="183">
        <f>+AE354-AI354-AK354-AM354</f>
        <v>3220000</v>
      </c>
      <c r="AP354" s="183"/>
      <c r="AQ354" s="183"/>
      <c r="AR354" s="183"/>
      <c r="AS354" s="273"/>
      <c r="AT354" s="156"/>
      <c r="AU354" s="157">
        <f t="shared" si="37"/>
        <v>10720000</v>
      </c>
    </row>
    <row r="355" spans="2:68" hidden="1" x14ac:dyDescent="0.25">
      <c r="B355" s="83"/>
      <c r="C355" s="82"/>
      <c r="D355" s="82"/>
      <c r="E355" s="84"/>
      <c r="F355" s="84"/>
      <c r="G355" s="53"/>
      <c r="H355" s="54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50"/>
      <c r="AD355" s="51"/>
      <c r="AE355" s="70"/>
      <c r="AF355" s="127"/>
      <c r="AG355" s="127"/>
      <c r="AH355" s="116"/>
      <c r="AI355" s="190"/>
      <c r="AJ355" s="188"/>
      <c r="AK355" s="188"/>
      <c r="AL355" s="189"/>
      <c r="AM355" s="188"/>
      <c r="AN355" s="188"/>
      <c r="AO355" s="183"/>
      <c r="AP355" s="183"/>
      <c r="AQ355" s="183"/>
      <c r="AR355" s="183"/>
      <c r="AS355" s="273"/>
      <c r="AT355" s="156"/>
      <c r="AU355" s="157">
        <f t="shared" si="37"/>
        <v>0</v>
      </c>
    </row>
    <row r="356" spans="2:68" hidden="1" x14ac:dyDescent="0.25">
      <c r="B356" s="83"/>
      <c r="C356" s="82"/>
      <c r="D356" s="82"/>
      <c r="E356" s="84"/>
      <c r="F356" s="84"/>
      <c r="G356" s="53" t="s">
        <v>168</v>
      </c>
      <c r="H356" s="54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50"/>
      <c r="AD356" s="51"/>
      <c r="AE356" s="71">
        <f>SUM(AE357:AE358)</f>
        <v>250000000</v>
      </c>
      <c r="AF356" s="127">
        <f>(AE356/AE$13)*100</f>
        <v>1.8946578209134943</v>
      </c>
      <c r="AG356" s="127"/>
      <c r="AH356" s="116"/>
      <c r="AI356" s="190"/>
      <c r="AJ356" s="188"/>
      <c r="AK356" s="188"/>
      <c r="AL356" s="189"/>
      <c r="AM356" s="188"/>
      <c r="AN356" s="188"/>
      <c r="AO356" s="183"/>
      <c r="AP356" s="183"/>
      <c r="AQ356" s="183"/>
      <c r="AR356" s="183"/>
      <c r="AS356" s="273"/>
      <c r="AT356" s="156"/>
      <c r="AU356" s="157">
        <f t="shared" si="37"/>
        <v>0</v>
      </c>
    </row>
    <row r="357" spans="2:68" hidden="1" x14ac:dyDescent="0.25">
      <c r="B357" s="83"/>
      <c r="C357" s="82"/>
      <c r="D357" s="82"/>
      <c r="E357" s="84"/>
      <c r="F357" s="84"/>
      <c r="G357" s="96" t="s">
        <v>37</v>
      </c>
      <c r="H357" s="54" t="s">
        <v>169</v>
      </c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50"/>
      <c r="AD357" s="51"/>
      <c r="AE357" s="71">
        <v>200000000</v>
      </c>
      <c r="AF357" s="127">
        <f>(AE357/AE$13)*100</f>
        <v>1.5157262567307956</v>
      </c>
      <c r="AG357" s="127"/>
      <c r="AH357" s="116"/>
      <c r="AI357" s="190"/>
      <c r="AJ357" s="188">
        <f>0.3*AE357</f>
        <v>60000000</v>
      </c>
      <c r="AK357" s="189">
        <f>0.5*AE357-(0.5*AJ357)</f>
        <v>70000000</v>
      </c>
      <c r="AL357" s="188">
        <f>+AK357</f>
        <v>70000000</v>
      </c>
      <c r="AM357" s="188"/>
      <c r="AN357" s="188"/>
      <c r="AO357" s="183"/>
      <c r="AP357" s="183"/>
      <c r="AQ357" s="183"/>
      <c r="AR357" s="183"/>
      <c r="AS357" s="273"/>
      <c r="AT357" s="156"/>
      <c r="AU357" s="157">
        <f t="shared" si="37"/>
        <v>200000000</v>
      </c>
    </row>
    <row r="358" spans="2:68" hidden="1" x14ac:dyDescent="0.25">
      <c r="B358" s="83"/>
      <c r="C358" s="82"/>
      <c r="D358" s="82"/>
      <c r="E358" s="84"/>
      <c r="F358" s="84"/>
      <c r="G358" s="96" t="s">
        <v>37</v>
      </c>
      <c r="H358" s="965" t="s">
        <v>170</v>
      </c>
      <c r="I358" s="965"/>
      <c r="J358" s="965"/>
      <c r="K358" s="965"/>
      <c r="L358" s="965"/>
      <c r="M358" s="965"/>
      <c r="N358" s="965"/>
      <c r="O358" s="965"/>
      <c r="P358" s="965"/>
      <c r="Q358" s="965"/>
      <c r="R358" s="965"/>
      <c r="S358" s="965"/>
      <c r="T358" s="965"/>
      <c r="U358" s="965"/>
      <c r="V358" s="965"/>
      <c r="W358" s="965"/>
      <c r="X358" s="965"/>
      <c r="Y358" s="965"/>
      <c r="Z358" s="965"/>
      <c r="AA358" s="965"/>
      <c r="AB358" s="965"/>
      <c r="AC358" s="965"/>
      <c r="AD358" s="51"/>
      <c r="AE358" s="71">
        <v>50000000</v>
      </c>
      <c r="AF358" s="127">
        <f>(AE358/AE$13)*100</f>
        <v>0.37893156418269891</v>
      </c>
      <c r="AG358" s="127"/>
      <c r="AH358" s="116"/>
      <c r="AI358" s="190"/>
      <c r="AJ358" s="188"/>
      <c r="AK358" s="188"/>
      <c r="AL358" s="189"/>
      <c r="AM358" s="188">
        <f>0.3*AE358</f>
        <v>15000000</v>
      </c>
      <c r="AN358" s="183"/>
      <c r="AO358" s="183">
        <f>0.7*AE358</f>
        <v>35000000</v>
      </c>
      <c r="AQ358" s="183"/>
      <c r="AR358" s="183"/>
      <c r="AS358" s="273"/>
      <c r="AT358" s="156"/>
      <c r="AU358" s="157">
        <f t="shared" si="37"/>
        <v>50000000</v>
      </c>
    </row>
    <row r="359" spans="2:68" hidden="1" x14ac:dyDescent="0.25">
      <c r="B359" s="83"/>
      <c r="C359" s="82"/>
      <c r="D359" s="82"/>
      <c r="E359" s="84"/>
      <c r="F359" s="84"/>
      <c r="G359" s="53"/>
      <c r="H359" s="966"/>
      <c r="I359" s="966"/>
      <c r="J359" s="966"/>
      <c r="K359" s="966"/>
      <c r="L359" s="966"/>
      <c r="M359" s="966"/>
      <c r="N359" s="966"/>
      <c r="O359" s="966"/>
      <c r="P359" s="966"/>
      <c r="Q359" s="966"/>
      <c r="R359" s="966"/>
      <c r="S359" s="966"/>
      <c r="T359" s="966"/>
      <c r="U359" s="966"/>
      <c r="V359" s="966"/>
      <c r="W359" s="966"/>
      <c r="X359" s="966"/>
      <c r="Y359" s="966"/>
      <c r="Z359" s="966"/>
      <c r="AA359" s="966"/>
      <c r="AB359" s="966"/>
      <c r="AC359" s="966"/>
      <c r="AD359" s="51"/>
      <c r="AE359" s="70"/>
      <c r="AF359" s="127"/>
      <c r="AG359" s="127"/>
      <c r="AH359" s="116"/>
      <c r="AI359" s="190"/>
      <c r="AJ359" s="188"/>
      <c r="AK359" s="188"/>
      <c r="AL359" s="189"/>
      <c r="AM359" s="189"/>
      <c r="AN359" s="188"/>
      <c r="AO359" s="183"/>
      <c r="AP359" s="183"/>
      <c r="AQ359" s="183"/>
      <c r="AR359" s="183"/>
      <c r="AS359" s="273"/>
      <c r="AT359" s="156"/>
      <c r="AU359" s="157">
        <f t="shared" si="37"/>
        <v>0</v>
      </c>
    </row>
    <row r="360" spans="2:68" ht="13.8" hidden="1" thickTop="1" x14ac:dyDescent="0.25">
      <c r="B360" s="235"/>
      <c r="C360" s="236"/>
      <c r="D360" s="236"/>
      <c r="E360" s="236"/>
      <c r="F360" s="236"/>
      <c r="G360" s="242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7"/>
      <c r="S360" s="237"/>
      <c r="T360" s="237"/>
      <c r="U360" s="237"/>
      <c r="V360" s="237"/>
      <c r="W360" s="237"/>
      <c r="X360" s="237"/>
      <c r="Y360" s="237"/>
      <c r="Z360" s="237"/>
      <c r="AA360" s="237"/>
      <c r="AB360" s="237"/>
      <c r="AC360" s="238"/>
      <c r="AD360" s="239"/>
      <c r="AE360" s="257">
        <f>SUM(AH360:AS360)</f>
        <v>2002706000</v>
      </c>
      <c r="AF360" s="240"/>
      <c r="AG360" s="240"/>
      <c r="AH360" s="241">
        <f>SUM(AH326:AH359)</f>
        <v>1500000</v>
      </c>
      <c r="AI360" s="241">
        <f t="shared" ref="AI360:AS360" si="39">SUM(AI326:AI359)</f>
        <v>2500000</v>
      </c>
      <c r="AJ360" s="241">
        <f t="shared" si="39"/>
        <v>60000000</v>
      </c>
      <c r="AK360" s="241">
        <f t="shared" si="39"/>
        <v>74626000</v>
      </c>
      <c r="AL360" s="241">
        <f t="shared" si="39"/>
        <v>71350000</v>
      </c>
      <c r="AM360" s="241">
        <f t="shared" si="39"/>
        <v>538250000</v>
      </c>
      <c r="AN360" s="241">
        <f t="shared" si="39"/>
        <v>605900000</v>
      </c>
      <c r="AO360" s="241">
        <f t="shared" si="39"/>
        <v>646580000</v>
      </c>
      <c r="AP360" s="241">
        <f t="shared" si="39"/>
        <v>500000</v>
      </c>
      <c r="AQ360" s="241">
        <f t="shared" si="39"/>
        <v>1500000</v>
      </c>
      <c r="AR360" s="241">
        <f t="shared" si="39"/>
        <v>0</v>
      </c>
      <c r="AS360" s="278">
        <f t="shared" si="39"/>
        <v>0</v>
      </c>
      <c r="AT360" s="156"/>
      <c r="AU360" s="157">
        <f t="shared" si="37"/>
        <v>2002706000</v>
      </c>
    </row>
    <row r="361" spans="2:68" ht="13.8" hidden="1" thickBot="1" x14ac:dyDescent="0.3">
      <c r="B361" s="99"/>
      <c r="C361" s="100"/>
      <c r="D361" s="100"/>
      <c r="E361" s="100"/>
      <c r="F361" s="100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62"/>
      <c r="AD361" s="244"/>
      <c r="AE361" s="266" t="s">
        <v>225</v>
      </c>
      <c r="AF361" s="245"/>
      <c r="AG361" s="245"/>
      <c r="AH361" s="978">
        <f>+AH360+AI360+AJ360</f>
        <v>64000000</v>
      </c>
      <c r="AI361" s="979"/>
      <c r="AJ361" s="258"/>
      <c r="AK361" s="980">
        <f>+AK360+AL360+AM360</f>
        <v>684226000</v>
      </c>
      <c r="AL361" s="981"/>
      <c r="AM361" s="259"/>
      <c r="AN361" s="982">
        <f>+AN360+AO360+AP360</f>
        <v>1252980000</v>
      </c>
      <c r="AO361" s="983"/>
      <c r="AP361" s="260"/>
      <c r="AQ361" s="976">
        <f>+AQ360+AR360+AS360</f>
        <v>1500000</v>
      </c>
      <c r="AR361" s="977"/>
      <c r="AS361" s="283"/>
      <c r="AT361" s="156"/>
      <c r="AU361" s="157">
        <f t="shared" si="37"/>
        <v>2002706000</v>
      </c>
    </row>
    <row r="362" spans="2:68" hidden="1" x14ac:dyDescent="0.25">
      <c r="B362" s="285"/>
      <c r="C362" s="330"/>
      <c r="D362" s="330"/>
      <c r="E362" s="330"/>
      <c r="F362" s="33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354"/>
      <c r="AD362" s="354"/>
      <c r="BP362" s="355"/>
    </row>
    <row r="363" spans="2:68" hidden="1" x14ac:dyDescent="0.25">
      <c r="B363" s="285"/>
      <c r="C363" s="330"/>
      <c r="D363" s="330"/>
      <c r="E363" s="330"/>
      <c r="F363" s="33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354"/>
      <c r="AD363" s="354"/>
      <c r="BP363" s="355"/>
    </row>
    <row r="364" spans="2:68" x14ac:dyDescent="0.25">
      <c r="B364" s="372"/>
      <c r="C364" s="330"/>
      <c r="D364" s="330"/>
      <c r="E364" s="330"/>
      <c r="F364" s="33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354"/>
      <c r="AD364" s="354"/>
      <c r="BP364" s="355"/>
    </row>
    <row r="365" spans="2:68" ht="21.75" customHeight="1" thickBot="1" x14ac:dyDescent="0.3">
      <c r="B365" s="1127" t="s">
        <v>329</v>
      </c>
      <c r="C365" s="1128"/>
      <c r="D365" s="1128"/>
      <c r="E365" s="1128"/>
      <c r="F365" s="1128"/>
      <c r="G365" s="1128"/>
      <c r="H365" s="1128"/>
      <c r="I365" s="1128"/>
      <c r="J365" s="1128"/>
      <c r="K365" s="1128"/>
      <c r="L365" s="1128"/>
      <c r="M365" s="1128"/>
      <c r="N365" s="1128"/>
      <c r="O365" s="1128"/>
      <c r="P365" s="1128"/>
      <c r="Q365" s="1128"/>
      <c r="R365" s="1128"/>
      <c r="S365" s="1128"/>
      <c r="T365" s="1128"/>
      <c r="U365" s="1128"/>
      <c r="V365" s="1128"/>
      <c r="W365" s="1128"/>
      <c r="X365" s="1128"/>
      <c r="Y365" s="1128"/>
      <c r="Z365" s="1128"/>
      <c r="AA365" s="1128"/>
      <c r="AB365" s="1128"/>
      <c r="AC365" s="1128"/>
      <c r="AD365" s="1128"/>
      <c r="AE365" s="1128"/>
      <c r="AF365" s="1128"/>
      <c r="AG365" s="1128"/>
      <c r="AH365" s="1128"/>
      <c r="AI365" s="1128"/>
      <c r="AJ365" s="1128"/>
      <c r="AK365" s="1128"/>
      <c r="AL365" s="1128"/>
      <c r="AM365" s="1128"/>
      <c r="AN365" s="1128"/>
      <c r="AO365" s="1128"/>
      <c r="AP365" s="1128"/>
      <c r="AQ365" s="1128"/>
      <c r="AR365" s="1128"/>
      <c r="AS365" s="1129"/>
      <c r="AT365" s="644"/>
      <c r="BP365" s="355"/>
    </row>
    <row r="366" spans="2:68" ht="15.6" x14ac:dyDescent="0.25">
      <c r="B366" s="1101" t="s">
        <v>359</v>
      </c>
      <c r="C366" s="1102"/>
      <c r="D366" s="1102"/>
      <c r="E366" s="1102"/>
      <c r="F366" s="1102"/>
      <c r="G366" s="1102"/>
      <c r="H366" s="1102"/>
      <c r="I366" s="1102"/>
      <c r="J366" s="1102"/>
      <c r="K366" s="1102"/>
      <c r="L366" s="1102"/>
      <c r="M366" s="1102"/>
      <c r="N366" s="1102"/>
      <c r="O366" s="1102"/>
      <c r="P366" s="1102"/>
      <c r="Q366" s="1102"/>
      <c r="R366" s="1102"/>
      <c r="S366" s="1102"/>
      <c r="T366" s="1102"/>
      <c r="U366" s="1102"/>
      <c r="V366" s="1102"/>
      <c r="W366" s="1102"/>
      <c r="X366" s="1102"/>
      <c r="Y366" s="1102"/>
      <c r="Z366" s="1102"/>
      <c r="AA366" s="1102"/>
      <c r="AB366" s="1102"/>
      <c r="AC366" s="1102"/>
      <c r="AD366" s="1102"/>
      <c r="AE366" s="1102"/>
      <c r="AF366" s="1102"/>
      <c r="AG366" s="1102"/>
      <c r="AH366" s="1102"/>
      <c r="AI366" s="1102"/>
      <c r="AJ366" s="1102"/>
      <c r="AK366" s="1102"/>
      <c r="AL366" s="1102"/>
      <c r="AM366" s="1102"/>
      <c r="AN366" s="1102"/>
      <c r="AO366" s="1102"/>
      <c r="AP366" s="1102"/>
      <c r="AQ366" s="1102"/>
      <c r="AR366" s="1102"/>
      <c r="AS366" s="1103"/>
      <c r="AT366" s="482"/>
      <c r="BP366" s="355"/>
    </row>
    <row r="367" spans="2:68" ht="15.6" x14ac:dyDescent="0.25">
      <c r="B367" s="502"/>
      <c r="C367" s="503"/>
      <c r="D367" s="503"/>
      <c r="E367" s="503"/>
      <c r="F367" s="503"/>
      <c r="G367" s="503"/>
      <c r="H367" s="503"/>
      <c r="I367" s="503"/>
      <c r="J367" s="503"/>
      <c r="K367" s="503"/>
      <c r="L367" s="503"/>
      <c r="M367" s="503"/>
      <c r="N367" s="503"/>
      <c r="O367" s="503"/>
      <c r="P367" s="503"/>
      <c r="Q367" s="503"/>
      <c r="R367" s="503"/>
      <c r="S367" s="503"/>
      <c r="T367" s="503"/>
      <c r="U367" s="503"/>
      <c r="V367" s="503"/>
      <c r="W367" s="503"/>
      <c r="X367" s="503"/>
      <c r="Y367" s="503"/>
      <c r="Z367" s="503"/>
      <c r="AA367" s="503"/>
      <c r="AB367" s="503"/>
      <c r="AC367" s="503"/>
      <c r="AD367" s="503"/>
      <c r="AE367" s="503"/>
      <c r="AF367" s="503"/>
      <c r="AG367" s="503"/>
      <c r="AH367" s="503"/>
      <c r="AI367" s="503"/>
      <c r="AJ367" s="503"/>
      <c r="AK367" s="503"/>
      <c r="AL367" s="503"/>
      <c r="AM367" s="503"/>
      <c r="AN367" s="503"/>
      <c r="AO367" s="503"/>
      <c r="AP367" s="503"/>
      <c r="AQ367" s="503"/>
      <c r="AR367" s="1125" t="e">
        <f>+#REF!</f>
        <v>#REF!</v>
      </c>
      <c r="AS367" s="1126"/>
      <c r="AT367" s="482"/>
      <c r="BP367" s="355"/>
    </row>
    <row r="368" spans="2:68" x14ac:dyDescent="0.25">
      <c r="B368" s="373"/>
      <c r="C368" s="642"/>
      <c r="D368" s="642"/>
      <c r="E368" s="176"/>
      <c r="F368" s="176"/>
      <c r="G368" s="52"/>
      <c r="H368" s="52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102"/>
      <c r="AD368" s="102"/>
      <c r="AE368" s="173"/>
      <c r="AF368" s="177"/>
      <c r="AG368" s="177"/>
      <c r="AH368" s="204"/>
      <c r="AI368" s="217"/>
      <c r="AJ368" s="205"/>
      <c r="AK368" s="205"/>
      <c r="AL368" s="205"/>
      <c r="AM368" s="205"/>
      <c r="AN368" s="205"/>
      <c r="AO368" s="218"/>
      <c r="AP368" s="639"/>
      <c r="AQ368" s="639"/>
      <c r="AR368" s="639"/>
      <c r="AS368" s="374"/>
      <c r="AT368" s="643"/>
      <c r="AU368" s="72"/>
      <c r="AV368" s="72"/>
      <c r="AW368" s="72"/>
      <c r="AX368" s="72"/>
      <c r="AY368" s="72"/>
      <c r="AZ368" s="72"/>
      <c r="BA368" s="72"/>
      <c r="BB368" s="72"/>
    </row>
    <row r="369" spans="2:56" ht="12.75" customHeight="1" x14ac:dyDescent="0.25">
      <c r="B369" s="373"/>
      <c r="C369" s="1113" t="s">
        <v>295</v>
      </c>
      <c r="D369" s="1114"/>
      <c r="E369" s="1114"/>
      <c r="F369" s="1114"/>
      <c r="G369" s="1114"/>
      <c r="H369" s="1115"/>
      <c r="I369" s="1113" t="s">
        <v>296</v>
      </c>
      <c r="J369" s="1114"/>
      <c r="K369" s="1114"/>
      <c r="L369" s="1114"/>
      <c r="M369" s="1114"/>
      <c r="N369" s="1114"/>
      <c r="O369" s="1119"/>
      <c r="P369" s="1119"/>
      <c r="Q369" s="1119"/>
      <c r="R369" s="1119"/>
      <c r="S369" s="1119"/>
      <c r="T369" s="1119"/>
      <c r="U369" s="1119"/>
      <c r="V369" s="1119"/>
      <c r="W369" s="1119"/>
      <c r="X369" s="1119"/>
      <c r="Y369" s="1119"/>
      <c r="Z369" s="1119"/>
      <c r="AA369" s="1119"/>
      <c r="AB369" s="1119"/>
      <c r="AC369" s="1119"/>
      <c r="AD369" s="1119"/>
      <c r="AE369" s="1119"/>
      <c r="AF369" s="365"/>
      <c r="AG369" s="426" t="s">
        <v>313</v>
      </c>
      <c r="AH369" s="1121" t="s">
        <v>297</v>
      </c>
      <c r="AI369" s="1122"/>
      <c r="AJ369" s="1122"/>
      <c r="AK369" s="1122"/>
      <c r="AL369" s="1122"/>
      <c r="AM369" s="1122"/>
      <c r="AN369" s="1122"/>
      <c r="AO369" s="1122"/>
      <c r="AP369" s="1122"/>
      <c r="AQ369" s="1122"/>
      <c r="AR369" s="1122"/>
      <c r="AS369" s="1123"/>
      <c r="AT369" s="643"/>
      <c r="AU369" s="72"/>
      <c r="AV369" s="72"/>
      <c r="AW369" s="72"/>
      <c r="AX369" s="72"/>
      <c r="AY369" s="72"/>
      <c r="AZ369" s="72"/>
      <c r="BA369" s="72"/>
      <c r="BB369" s="72"/>
    </row>
    <row r="370" spans="2:56" ht="13.8" thickBot="1" x14ac:dyDescent="0.3">
      <c r="B370" s="373"/>
      <c r="C370" s="1116"/>
      <c r="D370" s="1117"/>
      <c r="E370" s="1117"/>
      <c r="F370" s="1117"/>
      <c r="G370" s="1117"/>
      <c r="H370" s="1118"/>
      <c r="I370" s="1116"/>
      <c r="J370" s="1117"/>
      <c r="K370" s="1117"/>
      <c r="L370" s="1117"/>
      <c r="M370" s="1117"/>
      <c r="N370" s="1117"/>
      <c r="O370" s="1120"/>
      <c r="P370" s="1120"/>
      <c r="Q370" s="1120"/>
      <c r="R370" s="1120"/>
      <c r="S370" s="1120"/>
      <c r="T370" s="1120"/>
      <c r="U370" s="1120"/>
      <c r="V370" s="1120"/>
      <c r="W370" s="1120"/>
      <c r="X370" s="1120"/>
      <c r="Y370" s="1120"/>
      <c r="Z370" s="1120"/>
      <c r="AA370" s="1120"/>
      <c r="AB370" s="1120"/>
      <c r="AC370" s="1120"/>
      <c r="AD370" s="1120"/>
      <c r="AE370" s="1120"/>
      <c r="AF370" s="366"/>
      <c r="AG370" s="427" t="s">
        <v>314</v>
      </c>
      <c r="AH370" s="370" t="s">
        <v>308</v>
      </c>
      <c r="AI370" s="369" t="s">
        <v>307</v>
      </c>
      <c r="AJ370" s="371" t="s">
        <v>306</v>
      </c>
      <c r="AK370" s="371" t="s">
        <v>305</v>
      </c>
      <c r="AL370" s="371" t="s">
        <v>70</v>
      </c>
      <c r="AM370" s="371" t="s">
        <v>304</v>
      </c>
      <c r="AN370" s="371" t="s">
        <v>303</v>
      </c>
      <c r="AO370" s="369" t="s">
        <v>298</v>
      </c>
      <c r="AP370" s="369" t="s">
        <v>299</v>
      </c>
      <c r="AQ370" s="369" t="s">
        <v>300</v>
      </c>
      <c r="AR370" s="369" t="s">
        <v>301</v>
      </c>
      <c r="AS370" s="369" t="s">
        <v>302</v>
      </c>
      <c r="AT370" s="643"/>
      <c r="AU370" s="72"/>
      <c r="AV370" s="72"/>
      <c r="AW370" s="72"/>
      <c r="AX370" s="72"/>
      <c r="AY370" s="72"/>
      <c r="AZ370" s="72"/>
      <c r="BA370" s="72"/>
      <c r="BB370" s="72"/>
    </row>
    <row r="371" spans="2:56" ht="13.8" thickTop="1" x14ac:dyDescent="0.25">
      <c r="B371" s="373"/>
      <c r="C371" s="356"/>
      <c r="D371" s="357"/>
      <c r="E371" s="358"/>
      <c r="F371" s="358"/>
      <c r="G371" s="55"/>
      <c r="H371" s="55"/>
      <c r="I371" s="367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359"/>
      <c r="AD371" s="359"/>
      <c r="AE371" s="360"/>
      <c r="AF371" s="361"/>
      <c r="AG371" s="428"/>
      <c r="AH371" s="651"/>
      <c r="AI371" s="652"/>
      <c r="AJ371" s="362"/>
      <c r="AK371" s="362"/>
      <c r="AL371" s="362"/>
      <c r="AM371" s="605"/>
      <c r="AN371" s="609"/>
      <c r="AO371" s="363"/>
      <c r="AP371" s="364"/>
      <c r="AQ371" s="618"/>
      <c r="AR371" s="619"/>
      <c r="AS371" s="363"/>
      <c r="AT371" s="643"/>
      <c r="AU371" s="72"/>
      <c r="AV371" s="72"/>
      <c r="AW371" s="72"/>
      <c r="AX371" s="72"/>
      <c r="AY371" s="72"/>
      <c r="AZ371" s="72"/>
      <c r="BA371" s="72"/>
      <c r="BB371" s="72"/>
    </row>
    <row r="372" spans="2:56" ht="15" customHeight="1" x14ac:dyDescent="0.25">
      <c r="B372" s="373"/>
      <c r="C372" s="640" t="s">
        <v>290</v>
      </c>
      <c r="D372" s="641"/>
      <c r="E372" s="333"/>
      <c r="F372" s="333"/>
      <c r="G372" s="54"/>
      <c r="H372" s="54"/>
      <c r="I372" s="73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50"/>
      <c r="AD372" s="50"/>
      <c r="AE372" s="349" t="e">
        <f>+#REF!</f>
        <v>#REF!</v>
      </c>
      <c r="AF372" s="334"/>
      <c r="AG372" s="429" t="s">
        <v>315</v>
      </c>
      <c r="AH372" s="646">
        <v>5719000</v>
      </c>
      <c r="AI372" s="113">
        <v>21050000</v>
      </c>
      <c r="AJ372" s="647">
        <v>966306000</v>
      </c>
      <c r="AK372" s="113">
        <v>41494000</v>
      </c>
      <c r="AL372" s="113">
        <v>1946650000</v>
      </c>
      <c r="AM372" s="113">
        <v>33700000</v>
      </c>
      <c r="AN372" s="113">
        <v>1966050000</v>
      </c>
      <c r="AO372" s="113">
        <v>27700000</v>
      </c>
      <c r="AP372" s="113">
        <f>41900000-18393000</f>
        <v>23507000</v>
      </c>
      <c r="AQ372" s="113">
        <f>38450000-18393000</f>
        <v>20057000</v>
      </c>
      <c r="AR372" s="113">
        <f>25234900-18394300</f>
        <v>6840600</v>
      </c>
      <c r="AS372" s="113">
        <v>1000000</v>
      </c>
      <c r="AT372" s="643"/>
      <c r="AU372" s="617"/>
      <c r="AV372" s="72"/>
      <c r="AW372" s="72"/>
      <c r="AX372" s="72"/>
      <c r="AY372" s="72"/>
      <c r="AZ372" s="72"/>
      <c r="BA372" s="72"/>
      <c r="BB372" s="72"/>
    </row>
    <row r="373" spans="2:56" ht="15" customHeight="1" x14ac:dyDescent="0.25">
      <c r="B373" s="373"/>
      <c r="C373" s="474"/>
      <c r="D373" s="336"/>
      <c r="E373" s="337"/>
      <c r="F373" s="337"/>
      <c r="G373" s="94"/>
      <c r="H373" s="94"/>
      <c r="I373" s="368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338"/>
      <c r="AD373" s="338"/>
      <c r="AE373" s="660"/>
      <c r="AF373" s="334"/>
      <c r="AG373" s="429" t="s">
        <v>314</v>
      </c>
      <c r="AH373" s="155">
        <v>0</v>
      </c>
      <c r="AI373" s="575">
        <f>+'[1]Feb-15'!$AI$22</f>
        <v>19931000</v>
      </c>
      <c r="AJ373" s="155">
        <f>+[2]Mar!$AI$22</f>
        <v>16124000</v>
      </c>
      <c r="AK373" s="575">
        <f>+[3]Apr!$AI$22</f>
        <v>29909000</v>
      </c>
      <c r="AL373" s="575">
        <f>+[4]Mei!$AI$22</f>
        <v>31473500</v>
      </c>
      <c r="AM373" s="505">
        <f>+[5]Juni!$AI$22</f>
        <v>5376000</v>
      </c>
      <c r="AN373" s="575">
        <f>+[6]Juli!$AI$22</f>
        <v>691889200</v>
      </c>
      <c r="AO373" s="575">
        <f>[7]Agt!$AI$22</f>
        <v>156889700</v>
      </c>
      <c r="AP373" s="575">
        <f>'[8]Sept-P'!$AI$22</f>
        <v>70302000</v>
      </c>
      <c r="AQ373" s="505">
        <f>[9]Okt!$AI$22</f>
        <v>1048273800</v>
      </c>
      <c r="AR373" s="575">
        <f>[10]Nov!$AI$22</f>
        <v>795076000</v>
      </c>
      <c r="AS373" s="575" t="e">
        <f>+#REF!</f>
        <v>#REF!</v>
      </c>
      <c r="AT373" s="643"/>
      <c r="AU373" s="101"/>
      <c r="AV373" s="72"/>
      <c r="AW373" s="72"/>
      <c r="AX373" s="72"/>
      <c r="AY373" s="72"/>
      <c r="AZ373" s="72"/>
      <c r="BA373" s="72"/>
      <c r="BB373" s="72"/>
    </row>
    <row r="374" spans="2:56" x14ac:dyDescent="0.25">
      <c r="B374" s="373"/>
      <c r="C374" s="373"/>
      <c r="D374" s="659"/>
      <c r="E374" s="176"/>
      <c r="F374" s="176"/>
      <c r="G374" s="52"/>
      <c r="H374" s="52"/>
      <c r="I374" s="89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102"/>
      <c r="AD374" s="102"/>
      <c r="AE374" s="351"/>
      <c r="AF374" s="339"/>
      <c r="AG374" s="430"/>
      <c r="AH374" s="606"/>
      <c r="AI374" s="352"/>
      <c r="AJ374" s="648"/>
      <c r="AK374" s="352"/>
      <c r="AL374" s="352"/>
      <c r="AM374" s="606"/>
      <c r="AN374" s="352"/>
      <c r="AO374" s="352"/>
      <c r="AP374" s="352"/>
      <c r="AQ374" s="606"/>
      <c r="AR374" s="352"/>
      <c r="AS374" s="352"/>
      <c r="AT374" s="643"/>
      <c r="AU374" s="101"/>
      <c r="AV374" s="72"/>
      <c r="AW374" s="72"/>
      <c r="AX374" s="72"/>
      <c r="AY374" s="72"/>
      <c r="AZ374" s="72"/>
      <c r="BA374" s="72"/>
      <c r="BB374" s="72"/>
    </row>
    <row r="375" spans="2:56" x14ac:dyDescent="0.25">
      <c r="B375" s="373"/>
      <c r="C375" s="373"/>
      <c r="D375" s="642"/>
      <c r="E375" s="176"/>
      <c r="F375" s="176"/>
      <c r="G375" s="52"/>
      <c r="H375" s="52"/>
      <c r="I375" s="89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102"/>
      <c r="AD375" s="102"/>
      <c r="AE375" s="351"/>
      <c r="AF375" s="177"/>
      <c r="AG375" s="431"/>
      <c r="AH375" s="607"/>
      <c r="AI375" s="437"/>
      <c r="AJ375" s="649"/>
      <c r="AK375" s="437"/>
      <c r="AL375" s="437"/>
      <c r="AM375" s="607"/>
      <c r="AN375" s="437"/>
      <c r="AO375" s="437"/>
      <c r="AP375" s="437"/>
      <c r="AQ375" s="607"/>
      <c r="AR375" s="437"/>
      <c r="AS375" s="437"/>
      <c r="AT375" s="643"/>
      <c r="AU375" s="101"/>
      <c r="AV375" s="72"/>
      <c r="AW375" s="72"/>
      <c r="AX375" s="72"/>
      <c r="AY375" s="72"/>
      <c r="AZ375" s="72"/>
      <c r="BA375" s="72"/>
      <c r="BB375" s="72"/>
    </row>
    <row r="376" spans="2:56" x14ac:dyDescent="0.25">
      <c r="B376" s="373"/>
      <c r="C376" s="356"/>
      <c r="D376" s="357"/>
      <c r="E376" s="358"/>
      <c r="F376" s="358"/>
      <c r="G376" s="55"/>
      <c r="H376" s="55"/>
      <c r="I376" s="367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359"/>
      <c r="AD376" s="359"/>
      <c r="AE376" s="475"/>
      <c r="AF376" s="361"/>
      <c r="AG376" s="428"/>
      <c r="AH376" s="608"/>
      <c r="AI376" s="476"/>
      <c r="AJ376" s="650"/>
      <c r="AK376" s="476"/>
      <c r="AL376" s="476"/>
      <c r="AM376" s="608"/>
      <c r="AN376" s="476"/>
      <c r="AO376" s="476"/>
      <c r="AP376" s="476"/>
      <c r="AQ376" s="608"/>
      <c r="AR376" s="476"/>
      <c r="AS376" s="476"/>
      <c r="AT376" s="643"/>
      <c r="AU376" s="101"/>
      <c r="AV376" s="72"/>
      <c r="AW376" s="72"/>
      <c r="AX376" s="72"/>
      <c r="AY376" s="72"/>
      <c r="AZ376" s="72"/>
      <c r="BA376" s="72"/>
      <c r="BB376" s="72"/>
    </row>
    <row r="377" spans="2:56" ht="15" customHeight="1" x14ac:dyDescent="0.25">
      <c r="B377" s="373"/>
      <c r="C377" s="640" t="s">
        <v>291</v>
      </c>
      <c r="D377" s="641"/>
      <c r="E377" s="333"/>
      <c r="F377" s="333"/>
      <c r="G377" s="54"/>
      <c r="H377" s="54"/>
      <c r="I377" s="73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50"/>
      <c r="AD377" s="50"/>
      <c r="AE377" s="349" t="e">
        <f>+#REF!</f>
        <v>#REF!</v>
      </c>
      <c r="AF377" s="334"/>
      <c r="AG377" s="429" t="s">
        <v>315</v>
      </c>
      <c r="AH377" s="646">
        <v>1000000</v>
      </c>
      <c r="AI377" s="113">
        <v>3000000</v>
      </c>
      <c r="AJ377" s="647">
        <v>293000000</v>
      </c>
      <c r="AK377" s="113">
        <v>15000000</v>
      </c>
      <c r="AL377" s="113">
        <v>596000000</v>
      </c>
      <c r="AM377" s="113">
        <v>15884600</v>
      </c>
      <c r="AN377" s="113">
        <v>586000000</v>
      </c>
      <c r="AO377" s="113">
        <v>14000000</v>
      </c>
      <c r="AP377" s="113">
        <f>12000000-4611000</f>
        <v>7389000</v>
      </c>
      <c r="AQ377" s="113">
        <f>12000000-4611000</f>
        <v>7389000</v>
      </c>
      <c r="AR377" s="113">
        <f>15000000-4611000-2000</f>
        <v>10387000</v>
      </c>
      <c r="AS377" s="113">
        <v>1000000</v>
      </c>
      <c r="AT377" s="643"/>
      <c r="AU377" s="101"/>
      <c r="AV377" s="72"/>
      <c r="AW377" s="72"/>
      <c r="AX377" s="72"/>
      <c r="AY377" s="72"/>
      <c r="AZ377" s="72"/>
      <c r="BA377" s="72"/>
      <c r="BB377" s="72"/>
    </row>
    <row r="378" spans="2:56" ht="15" customHeight="1" x14ac:dyDescent="0.25">
      <c r="B378" s="373"/>
      <c r="C378" s="474"/>
      <c r="D378" s="336"/>
      <c r="E378" s="337"/>
      <c r="F378" s="337"/>
      <c r="G378" s="94"/>
      <c r="H378" s="94"/>
      <c r="I378" s="368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338"/>
      <c r="AD378" s="338"/>
      <c r="AE378" s="660"/>
      <c r="AF378" s="334"/>
      <c r="AG378" s="429" t="s">
        <v>314</v>
      </c>
      <c r="AH378" s="155">
        <v>0</v>
      </c>
      <c r="AI378" s="575">
        <f>+'[1]Feb-15'!$AI$85</f>
        <v>0</v>
      </c>
      <c r="AJ378" s="155">
        <f>+[2]Mar!$AI$88</f>
        <v>3240000</v>
      </c>
      <c r="AK378" s="575">
        <f>+[3]Apr!$AI$88</f>
        <v>4750000</v>
      </c>
      <c r="AL378" s="575">
        <f>+[4]Mei!$AI$88</f>
        <v>0</v>
      </c>
      <c r="AM378" s="505">
        <f>+[5]Juni!$AI$88</f>
        <v>0</v>
      </c>
      <c r="AN378" s="575">
        <f>+[6]Juli!$AI$87</f>
        <v>1500000</v>
      </c>
      <c r="AO378" s="575">
        <f>[7]Agt!$AI$87</f>
        <v>6000000</v>
      </c>
      <c r="AP378" s="575">
        <f>'[8]Sept-P'!$AI$94</f>
        <v>319095000</v>
      </c>
      <c r="AQ378" s="505">
        <v>9422</v>
      </c>
      <c r="AR378" s="575">
        <f>[10]Nov!$AI$94</f>
        <v>62916300</v>
      </c>
      <c r="AS378" s="575" t="e">
        <f>+#REF!</f>
        <v>#REF!</v>
      </c>
      <c r="AT378" s="643"/>
      <c r="AU378" s="101"/>
      <c r="AV378" s="72"/>
      <c r="AW378" s="72"/>
      <c r="AX378" s="72"/>
      <c r="AY378" s="72"/>
      <c r="AZ378" s="72"/>
      <c r="BA378" s="72"/>
      <c r="BB378" s="72"/>
    </row>
    <row r="379" spans="2:56" x14ac:dyDescent="0.25">
      <c r="B379" s="373"/>
      <c r="C379" s="373"/>
      <c r="D379" s="659"/>
      <c r="E379" s="176"/>
      <c r="F379" s="176"/>
      <c r="G379" s="52"/>
      <c r="H379" s="52"/>
      <c r="I379" s="89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102"/>
      <c r="AD379" s="102"/>
      <c r="AE379" s="351"/>
      <c r="AF379" s="339"/>
      <c r="AG379" s="430"/>
      <c r="AH379" s="606"/>
      <c r="AI379" s="352"/>
      <c r="AJ379" s="648"/>
      <c r="AK379" s="352"/>
      <c r="AL379" s="352"/>
      <c r="AM379" s="606"/>
      <c r="AN379" s="352"/>
      <c r="AO379" s="352"/>
      <c r="AP379" s="352"/>
      <c r="AQ379" s="606"/>
      <c r="AR379" s="352"/>
      <c r="AS379" s="352"/>
      <c r="AT379" s="643"/>
      <c r="AU379" s="101"/>
      <c r="AV379" s="72"/>
      <c r="AW379" s="72"/>
      <c r="AX379" s="72"/>
      <c r="AY379" s="72"/>
      <c r="AZ379" s="72"/>
      <c r="BA379" s="72"/>
      <c r="BB379" s="72"/>
    </row>
    <row r="380" spans="2:56" x14ac:dyDescent="0.25">
      <c r="B380" s="373"/>
      <c r="C380" s="373"/>
      <c r="D380" s="642"/>
      <c r="E380" s="176"/>
      <c r="F380" s="176"/>
      <c r="G380" s="52"/>
      <c r="H380" s="52"/>
      <c r="I380" s="89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102"/>
      <c r="AD380" s="102"/>
      <c r="AE380" s="351"/>
      <c r="AF380" s="177"/>
      <c r="AG380" s="431"/>
      <c r="AH380" s="607"/>
      <c r="AI380" s="437"/>
      <c r="AJ380" s="649"/>
      <c r="AK380" s="437"/>
      <c r="AL380" s="437"/>
      <c r="AM380" s="607"/>
      <c r="AN380" s="437"/>
      <c r="AO380" s="437"/>
      <c r="AP380" s="437"/>
      <c r="AQ380" s="607"/>
      <c r="AR380" s="437"/>
      <c r="AS380" s="437"/>
      <c r="AT380" s="643"/>
      <c r="AU380" s="101"/>
      <c r="AV380" s="72"/>
      <c r="AW380" s="72"/>
      <c r="AX380" s="72"/>
      <c r="AY380" s="72"/>
      <c r="AZ380" s="72"/>
      <c r="BA380" s="72"/>
      <c r="BB380" s="72"/>
      <c r="BC380" s="72"/>
      <c r="BD380" s="382"/>
    </row>
    <row r="381" spans="2:56" x14ac:dyDescent="0.25">
      <c r="B381" s="373"/>
      <c r="C381" s="356"/>
      <c r="D381" s="357"/>
      <c r="E381" s="358"/>
      <c r="F381" s="358"/>
      <c r="G381" s="55"/>
      <c r="H381" s="55"/>
      <c r="I381" s="367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359"/>
      <c r="AD381" s="359"/>
      <c r="AE381" s="475"/>
      <c r="AF381" s="361"/>
      <c r="AG381" s="428"/>
      <c r="AH381" s="608"/>
      <c r="AI381" s="476"/>
      <c r="AJ381" s="650"/>
      <c r="AK381" s="476"/>
      <c r="AL381" s="476"/>
      <c r="AM381" s="608"/>
      <c r="AN381" s="476"/>
      <c r="AO381" s="476"/>
      <c r="AP381" s="476"/>
      <c r="AQ381" s="608"/>
      <c r="AR381" s="476"/>
      <c r="AS381" s="476"/>
      <c r="AT381" s="643"/>
      <c r="AU381" s="101"/>
      <c r="AV381" s="72"/>
      <c r="AW381" s="72"/>
      <c r="AX381" s="72"/>
      <c r="AY381" s="72"/>
      <c r="AZ381" s="72"/>
      <c r="BA381" s="72"/>
      <c r="BB381" s="72"/>
    </row>
    <row r="382" spans="2:56" ht="15" customHeight="1" x14ac:dyDescent="0.25">
      <c r="B382" s="373"/>
      <c r="C382" s="640" t="s">
        <v>292</v>
      </c>
      <c r="D382" s="641"/>
      <c r="E382" s="333"/>
      <c r="F382" s="333"/>
      <c r="G382" s="54"/>
      <c r="H382" s="54"/>
      <c r="I382" s="73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50"/>
      <c r="AD382" s="50"/>
      <c r="AE382" s="349" t="e">
        <f>+#REF!</f>
        <v>#REF!</v>
      </c>
      <c r="AF382" s="334"/>
      <c r="AG382" s="429" t="s">
        <v>315</v>
      </c>
      <c r="AH382" s="646">
        <v>1000000</v>
      </c>
      <c r="AI382" s="113">
        <v>1612000</v>
      </c>
      <c r="AJ382" s="647">
        <v>395000000</v>
      </c>
      <c r="AK382" s="113">
        <v>24510000</v>
      </c>
      <c r="AL382" s="113">
        <v>990000000</v>
      </c>
      <c r="AM382" s="113">
        <v>24510000</v>
      </c>
      <c r="AN382" s="113">
        <v>990000000</v>
      </c>
      <c r="AO382" s="113">
        <v>24510000</v>
      </c>
      <c r="AP382" s="113">
        <f>1124510000-0</f>
        <v>1124510000</v>
      </c>
      <c r="AQ382" s="113">
        <f>124510000+924480594</f>
        <v>1048990594</v>
      </c>
      <c r="AR382" s="113">
        <v>1124510000</v>
      </c>
      <c r="AS382" s="113">
        <f>1000000+925406</f>
        <v>1925406</v>
      </c>
      <c r="AT382" s="643"/>
      <c r="AU382" s="101"/>
      <c r="AV382" s="72"/>
      <c r="AW382" s="72"/>
      <c r="AX382" s="72"/>
      <c r="AY382" s="72"/>
      <c r="AZ382" s="72"/>
      <c r="BA382" s="72"/>
      <c r="BB382" s="72"/>
    </row>
    <row r="383" spans="2:56" ht="15" customHeight="1" x14ac:dyDescent="0.25">
      <c r="B383" s="373"/>
      <c r="C383" s="474"/>
      <c r="D383" s="336"/>
      <c r="E383" s="337"/>
      <c r="F383" s="337"/>
      <c r="G383" s="94"/>
      <c r="H383" s="94"/>
      <c r="I383" s="368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338"/>
      <c r="AD383" s="338"/>
      <c r="AE383" s="660"/>
      <c r="AF383" s="334"/>
      <c r="AG383" s="429" t="s">
        <v>314</v>
      </c>
      <c r="AH383" s="155">
        <v>0</v>
      </c>
      <c r="AI383" s="575">
        <f>+'[1]Feb-15'!$AI$119</f>
        <v>0</v>
      </c>
      <c r="AJ383" s="155">
        <f>+[2]Mar!$AI$122</f>
        <v>14917000</v>
      </c>
      <c r="AK383" s="575">
        <f>+[3]Apr!$AI$122</f>
        <v>7740000</v>
      </c>
      <c r="AL383" s="575">
        <f>+[4]Mei!$AI$122</f>
        <v>3800000</v>
      </c>
      <c r="AM383" s="505">
        <f>+[5]Juni!$AI$122</f>
        <v>9540000</v>
      </c>
      <c r="AN383" s="575">
        <f>+[6]Juli!$AI$121</f>
        <v>920616400</v>
      </c>
      <c r="AO383" s="575">
        <f>[7]Agt!$AI$121</f>
        <v>499848200</v>
      </c>
      <c r="AP383" s="575">
        <f>'[8]Sept-P'!$AI$132</f>
        <v>0</v>
      </c>
      <c r="AQ383" s="505">
        <f>[9]Okt!$AI$132</f>
        <v>811659450</v>
      </c>
      <c r="AR383" s="575">
        <f>[10]Nov!$AI$132</f>
        <v>444040000</v>
      </c>
      <c r="AS383" s="575" t="e">
        <f>+#REF!</f>
        <v>#REF!</v>
      </c>
      <c r="AT383" s="643"/>
      <c r="AU383" s="101"/>
      <c r="AV383" s="72"/>
      <c r="AW383" s="72"/>
      <c r="AX383" s="72"/>
      <c r="AY383" s="72"/>
      <c r="AZ383" s="72"/>
      <c r="BA383" s="72"/>
      <c r="BB383" s="72"/>
    </row>
    <row r="384" spans="2:56" x14ac:dyDescent="0.25">
      <c r="B384" s="373"/>
      <c r="C384" s="373"/>
      <c r="D384" s="659"/>
      <c r="E384" s="176"/>
      <c r="F384" s="176"/>
      <c r="G384" s="52"/>
      <c r="H384" s="52"/>
      <c r="I384" s="89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102"/>
      <c r="AD384" s="102"/>
      <c r="AE384" s="351"/>
      <c r="AF384" s="339"/>
      <c r="AG384" s="430"/>
      <c r="AH384" s="606"/>
      <c r="AI384" s="352"/>
      <c r="AJ384" s="648"/>
      <c r="AK384" s="352"/>
      <c r="AL384" s="352"/>
      <c r="AM384" s="606"/>
      <c r="AN384" s="352"/>
      <c r="AO384" s="352"/>
      <c r="AP384" s="352"/>
      <c r="AQ384" s="606"/>
      <c r="AR384" s="352"/>
      <c r="AS384" s="352"/>
      <c r="AT384" s="643"/>
      <c r="AU384" s="101"/>
      <c r="AV384" s="72"/>
      <c r="AW384" s="72"/>
      <c r="AX384" s="72"/>
      <c r="AY384" s="72"/>
      <c r="AZ384" s="72"/>
      <c r="BA384" s="72"/>
      <c r="BB384" s="72"/>
    </row>
    <row r="385" spans="2:54" x14ac:dyDescent="0.25">
      <c r="B385" s="373"/>
      <c r="C385" s="373"/>
      <c r="D385" s="642"/>
      <c r="E385" s="176"/>
      <c r="F385" s="176"/>
      <c r="G385" s="52"/>
      <c r="H385" s="52"/>
      <c r="I385" s="89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102"/>
      <c r="AD385" s="102"/>
      <c r="AE385" s="351"/>
      <c r="AF385" s="177"/>
      <c r="AG385" s="431"/>
      <c r="AH385" s="607"/>
      <c r="AI385" s="437"/>
      <c r="AJ385" s="649"/>
      <c r="AK385" s="437"/>
      <c r="AL385" s="437"/>
      <c r="AM385" s="607"/>
      <c r="AN385" s="437"/>
      <c r="AO385" s="437"/>
      <c r="AP385" s="437"/>
      <c r="AQ385" s="607"/>
      <c r="AR385" s="437"/>
      <c r="AS385" s="437"/>
      <c r="AT385" s="643"/>
      <c r="AU385" s="101"/>
      <c r="AV385" s="72"/>
      <c r="AW385" s="72"/>
      <c r="AX385" s="72"/>
      <c r="AY385" s="72"/>
      <c r="AZ385" s="72"/>
      <c r="BA385" s="72"/>
      <c r="BB385" s="72"/>
    </row>
    <row r="386" spans="2:54" x14ac:dyDescent="0.25">
      <c r="B386" s="373"/>
      <c r="C386" s="356"/>
      <c r="D386" s="357"/>
      <c r="E386" s="358"/>
      <c r="F386" s="358"/>
      <c r="G386" s="55"/>
      <c r="H386" s="55"/>
      <c r="I386" s="367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359"/>
      <c r="AD386" s="359"/>
      <c r="AE386" s="475"/>
      <c r="AF386" s="361"/>
      <c r="AG386" s="428"/>
      <c r="AH386" s="608"/>
      <c r="AI386" s="476"/>
      <c r="AJ386" s="650"/>
      <c r="AK386" s="476"/>
      <c r="AL386" s="476"/>
      <c r="AM386" s="608"/>
      <c r="AN386" s="476"/>
      <c r="AO386" s="476"/>
      <c r="AP386" s="476"/>
      <c r="AQ386" s="608"/>
      <c r="AR386" s="476"/>
      <c r="AS386" s="476"/>
      <c r="AT386" s="643"/>
      <c r="AU386" s="101"/>
      <c r="AV386" s="72"/>
      <c r="AW386" s="72"/>
      <c r="AX386" s="72"/>
      <c r="AY386" s="72"/>
      <c r="AZ386" s="72"/>
      <c r="BA386" s="72"/>
      <c r="BB386" s="72"/>
    </row>
    <row r="387" spans="2:54" ht="15" customHeight="1" x14ac:dyDescent="0.25">
      <c r="B387" s="373"/>
      <c r="C387" s="640" t="s">
        <v>293</v>
      </c>
      <c r="D387" s="641"/>
      <c r="E387" s="333"/>
      <c r="F387" s="333"/>
      <c r="G387" s="54"/>
      <c r="H387" s="54"/>
      <c r="I387" s="73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50"/>
      <c r="AD387" s="50"/>
      <c r="AE387" s="349" t="e">
        <f>+#REF!</f>
        <v>#REF!</v>
      </c>
      <c r="AF387" s="334"/>
      <c r="AG387" s="429" t="s">
        <v>315</v>
      </c>
      <c r="AH387" s="646">
        <v>1000000</v>
      </c>
      <c r="AI387" s="113">
        <v>49620000</v>
      </c>
      <c r="AJ387" s="647">
        <v>153959800</v>
      </c>
      <c r="AK387" s="113">
        <v>160169400</v>
      </c>
      <c r="AL387" s="113">
        <v>206620800</v>
      </c>
      <c r="AM387" s="113">
        <v>191402400</v>
      </c>
      <c r="AN387" s="113">
        <v>166852400</v>
      </c>
      <c r="AO387" s="113">
        <v>173494400</v>
      </c>
      <c r="AP387" s="113">
        <f>188577400+162183000</f>
        <v>350760400</v>
      </c>
      <c r="AQ387" s="113">
        <f>137676400+162184000</f>
        <v>299860400</v>
      </c>
      <c r="AR387" s="113">
        <f>144879400+162183000</f>
        <v>307062400</v>
      </c>
      <c r="AS387" s="113">
        <v>1000000</v>
      </c>
      <c r="AT387" s="643"/>
      <c r="AU387" s="101"/>
      <c r="AV387" s="72"/>
      <c r="AW387" s="72"/>
      <c r="AX387" s="72"/>
      <c r="AY387" s="72"/>
      <c r="AZ387" s="72"/>
      <c r="BA387" s="72"/>
      <c r="BB387" s="72"/>
    </row>
    <row r="388" spans="2:54" ht="15" customHeight="1" x14ac:dyDescent="0.25">
      <c r="B388" s="373"/>
      <c r="C388" s="335"/>
      <c r="D388" s="336"/>
      <c r="E388" s="337"/>
      <c r="F388" s="337"/>
      <c r="G388" s="94"/>
      <c r="H388" s="94"/>
      <c r="I388" s="368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338"/>
      <c r="AD388" s="338"/>
      <c r="AE388" s="660"/>
      <c r="AF388" s="339"/>
      <c r="AG388" s="429" t="s">
        <v>314</v>
      </c>
      <c r="AH388" s="155">
        <v>0</v>
      </c>
      <c r="AI388" s="575">
        <f>+'[1]Feb-15'!$AI$159</f>
        <v>0</v>
      </c>
      <c r="AJ388" s="155">
        <f>+[2]Mar!$AI$168</f>
        <v>16784000</v>
      </c>
      <c r="AK388" s="575">
        <f>+[3]Apr!$AI$168</f>
        <v>115423200</v>
      </c>
      <c r="AL388" s="575">
        <f>+[4]Mei!$AI$168</f>
        <v>21385000</v>
      </c>
      <c r="AM388" s="505">
        <f>+[5]Juni!$AI$168</f>
        <v>11572000</v>
      </c>
      <c r="AN388" s="575">
        <f>+[6]Juli!$AI$167</f>
        <v>56162000</v>
      </c>
      <c r="AO388" s="575">
        <f>[7]Agt!$AI$167</f>
        <v>8776300</v>
      </c>
      <c r="AP388" s="575">
        <f>'[8]Sept-P'!$AI$176</f>
        <v>57021660</v>
      </c>
      <c r="AQ388" s="505">
        <f>[9]Okt!$AI$176</f>
        <v>48748500</v>
      </c>
      <c r="AR388" s="575">
        <f>[10]Nov!$AI$176</f>
        <v>268309600</v>
      </c>
      <c r="AS388" s="575" t="e">
        <f>+#REF!</f>
        <v>#REF!</v>
      </c>
      <c r="AT388" s="643"/>
      <c r="AU388" s="101"/>
      <c r="AV388" s="72"/>
      <c r="AW388" s="72"/>
      <c r="AX388" s="72"/>
      <c r="AY388" s="72"/>
      <c r="AZ388" s="72"/>
      <c r="BA388" s="72"/>
      <c r="BB388" s="72"/>
    </row>
    <row r="389" spans="2:54" x14ac:dyDescent="0.25">
      <c r="B389" s="373"/>
      <c r="C389" s="340"/>
      <c r="D389" s="659"/>
      <c r="E389" s="176"/>
      <c r="F389" s="176"/>
      <c r="G389" s="52"/>
      <c r="H389" s="52"/>
      <c r="I389" s="89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102"/>
      <c r="AD389" s="102"/>
      <c r="AE389" s="351"/>
      <c r="AF389" s="339"/>
      <c r="AG389" s="430"/>
      <c r="AH389" s="606"/>
      <c r="AI389" s="352"/>
      <c r="AJ389" s="648"/>
      <c r="AK389" s="352"/>
      <c r="AL389" s="352"/>
      <c r="AM389" s="606"/>
      <c r="AN389" s="352"/>
      <c r="AO389" s="352"/>
      <c r="AP389" s="352"/>
      <c r="AQ389" s="606"/>
      <c r="AR389" s="352"/>
      <c r="AS389" s="352"/>
      <c r="AT389" s="643"/>
      <c r="AU389" s="101"/>
      <c r="AV389" s="72"/>
      <c r="AW389" s="72"/>
      <c r="AX389" s="72"/>
      <c r="AY389" s="72"/>
      <c r="AZ389" s="72"/>
      <c r="BA389" s="72"/>
      <c r="BB389" s="72"/>
    </row>
    <row r="390" spans="2:54" x14ac:dyDescent="0.25">
      <c r="B390" s="373"/>
      <c r="C390" s="340"/>
      <c r="D390" s="642"/>
      <c r="E390" s="176"/>
      <c r="F390" s="176"/>
      <c r="G390" s="52"/>
      <c r="H390" s="52"/>
      <c r="I390" s="89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102"/>
      <c r="AD390" s="102"/>
      <c r="AE390" s="351"/>
      <c r="AF390" s="177"/>
      <c r="AG390" s="431"/>
      <c r="AH390" s="607"/>
      <c r="AI390" s="437"/>
      <c r="AJ390" s="649"/>
      <c r="AK390" s="437"/>
      <c r="AL390" s="437"/>
      <c r="AM390" s="607"/>
      <c r="AN390" s="437"/>
      <c r="AO390" s="437"/>
      <c r="AP390" s="437"/>
      <c r="AQ390" s="607"/>
      <c r="AR390" s="437"/>
      <c r="AS390" s="437"/>
      <c r="AT390" s="643"/>
      <c r="AU390" s="101"/>
      <c r="AV390" s="72"/>
      <c r="AW390" s="72"/>
      <c r="AX390" s="72"/>
      <c r="AY390" s="72"/>
      <c r="AZ390" s="72"/>
      <c r="BA390" s="72"/>
      <c r="BB390" s="72"/>
    </row>
    <row r="391" spans="2:54" x14ac:dyDescent="0.25">
      <c r="B391" s="373"/>
      <c r="C391" s="340"/>
      <c r="D391" s="642"/>
      <c r="E391" s="176"/>
      <c r="F391" s="176"/>
      <c r="G391" s="52"/>
      <c r="H391" s="52"/>
      <c r="I391" s="89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102"/>
      <c r="AD391" s="102"/>
      <c r="AE391" s="351"/>
      <c r="AF391" s="177"/>
      <c r="AG391" s="431"/>
      <c r="AH391" s="608"/>
      <c r="AI391" s="476"/>
      <c r="AJ391" s="650"/>
      <c r="AK391" s="476"/>
      <c r="AL391" s="476"/>
      <c r="AM391" s="608"/>
      <c r="AN391" s="476"/>
      <c r="AO391" s="476"/>
      <c r="AP391" s="476"/>
      <c r="AQ391" s="608"/>
      <c r="AR391" s="476"/>
      <c r="AS391" s="476"/>
      <c r="AT391" s="643"/>
      <c r="AU391" s="101"/>
      <c r="AV391" s="72"/>
      <c r="AW391" s="72"/>
      <c r="AX391" s="72"/>
      <c r="AY391" s="72"/>
      <c r="AZ391" s="72"/>
      <c r="BA391" s="72"/>
      <c r="BB391" s="72"/>
    </row>
    <row r="392" spans="2:54" ht="15" customHeight="1" x14ac:dyDescent="0.25">
      <c r="B392" s="373"/>
      <c r="C392" s="335" t="s">
        <v>294</v>
      </c>
      <c r="D392" s="336"/>
      <c r="E392" s="337"/>
      <c r="F392" s="337"/>
      <c r="G392" s="94"/>
      <c r="H392" s="94"/>
      <c r="I392" s="368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338"/>
      <c r="AD392" s="338"/>
      <c r="AE392" s="350" t="e">
        <f>+#REF!</f>
        <v>#REF!</v>
      </c>
      <c r="AF392" s="339"/>
      <c r="AG392" s="429" t="s">
        <v>315</v>
      </c>
      <c r="AH392" s="646">
        <v>0</v>
      </c>
      <c r="AI392" s="113">
        <v>4600000</v>
      </c>
      <c r="AJ392" s="647">
        <f>173600000-9380000</f>
        <v>164220000</v>
      </c>
      <c r="AK392" s="113">
        <v>3600000</v>
      </c>
      <c r="AL392" s="113">
        <f>344600000-9380000</f>
        <v>335220000</v>
      </c>
      <c r="AM392" s="113">
        <v>3729000</v>
      </c>
      <c r="AN392" s="113">
        <f>343600000-9380000</f>
        <v>334220000</v>
      </c>
      <c r="AO392" s="113">
        <v>4600000</v>
      </c>
      <c r="AP392" s="113">
        <v>7430000</v>
      </c>
      <c r="AQ392" s="113">
        <v>3600000</v>
      </c>
      <c r="AR392" s="113">
        <v>4600000</v>
      </c>
      <c r="AS392" s="113">
        <v>0</v>
      </c>
      <c r="AT392" s="643"/>
      <c r="AU392" s="101"/>
      <c r="AV392" s="72"/>
      <c r="AW392" s="72"/>
      <c r="AX392" s="72"/>
      <c r="AY392" s="72"/>
      <c r="AZ392" s="72"/>
      <c r="BA392" s="72"/>
      <c r="BB392" s="72"/>
    </row>
    <row r="393" spans="2:54" ht="15" customHeight="1" x14ac:dyDescent="0.25">
      <c r="B393" s="373"/>
      <c r="C393" s="662"/>
      <c r="D393" s="663"/>
      <c r="E393" s="664"/>
      <c r="F393" s="664"/>
      <c r="G393" s="665"/>
      <c r="H393" s="665"/>
      <c r="I393" s="666"/>
      <c r="J393" s="667"/>
      <c r="K393" s="667"/>
      <c r="L393" s="667"/>
      <c r="M393" s="667"/>
      <c r="N393" s="667"/>
      <c r="O393" s="667"/>
      <c r="P393" s="667"/>
      <c r="Q393" s="667"/>
      <c r="R393" s="667"/>
      <c r="S393" s="667"/>
      <c r="T393" s="667"/>
      <c r="U393" s="667"/>
      <c r="V393" s="667"/>
      <c r="W393" s="667"/>
      <c r="X393" s="667"/>
      <c r="Y393" s="667"/>
      <c r="Z393" s="667"/>
      <c r="AA393" s="667"/>
      <c r="AB393" s="667"/>
      <c r="AC393" s="668"/>
      <c r="AD393" s="668"/>
      <c r="AE393" s="661"/>
      <c r="AF393" s="177"/>
      <c r="AG393" s="430" t="s">
        <v>314</v>
      </c>
      <c r="AH393" s="505">
        <v>0</v>
      </c>
      <c r="AI393" s="352">
        <f>+'[1]Feb-15'!$AI$422</f>
        <v>0</v>
      </c>
      <c r="AJ393" s="654">
        <f>+[2]Mar!$AI$431</f>
        <v>0</v>
      </c>
      <c r="AK393" s="575">
        <f>+[3]Apr!$AI$427</f>
        <v>3814500</v>
      </c>
      <c r="AL393" s="575">
        <f>+[4]Mei!$AI$427</f>
        <v>920000</v>
      </c>
      <c r="AM393" s="505">
        <f>+[5]Juni!$AI$427</f>
        <v>0</v>
      </c>
      <c r="AN393" s="575">
        <f>+[6]Juli!$AI$426</f>
        <v>202924500</v>
      </c>
      <c r="AO393" s="505">
        <f>[7]Agt!$AI$426</f>
        <v>5740000</v>
      </c>
      <c r="AP393" s="575">
        <f>'[8]Sept-P'!$AI$390</f>
        <v>0</v>
      </c>
      <c r="AQ393" s="505">
        <f>[9]Okt!$AI$390</f>
        <v>0</v>
      </c>
      <c r="AR393" s="575">
        <f>[10]Nov!$AI$390</f>
        <v>2155700</v>
      </c>
      <c r="AS393" s="593" t="e">
        <f>+#REF!</f>
        <v>#REF!</v>
      </c>
      <c r="AT393" s="643"/>
      <c r="AU393" s="101"/>
      <c r="AV393" s="72"/>
      <c r="AW393" s="72"/>
      <c r="AX393" s="72"/>
      <c r="AY393" s="72"/>
      <c r="AZ393" s="72"/>
      <c r="BA393" s="72"/>
      <c r="BB393" s="72"/>
    </row>
    <row r="394" spans="2:54" x14ac:dyDescent="0.25">
      <c r="B394" s="373"/>
      <c r="C394" s="340"/>
      <c r="D394" s="642"/>
      <c r="E394" s="176"/>
      <c r="F394" s="176"/>
      <c r="G394" s="52"/>
      <c r="H394" s="52"/>
      <c r="I394" s="624"/>
      <c r="J394" s="346"/>
      <c r="K394" s="346"/>
      <c r="L394" s="346"/>
      <c r="M394" s="346"/>
      <c r="N394" s="346"/>
      <c r="O394" s="346"/>
      <c r="P394" s="346"/>
      <c r="Q394" s="346"/>
      <c r="R394" s="346"/>
      <c r="S394" s="346"/>
      <c r="T394" s="346"/>
      <c r="U394" s="346"/>
      <c r="V394" s="346"/>
      <c r="W394" s="346"/>
      <c r="X394" s="346"/>
      <c r="Y394" s="346"/>
      <c r="Z394" s="346"/>
      <c r="AA394" s="346"/>
      <c r="AB394" s="346"/>
      <c r="AC394" s="347"/>
      <c r="AD394" s="347"/>
      <c r="AE394" s="625"/>
      <c r="AF394" s="177"/>
      <c r="AG394" s="431"/>
      <c r="AH394" s="653"/>
      <c r="AI394" s="626"/>
      <c r="AJ394" s="616"/>
      <c r="AK394" s="626"/>
      <c r="AL394" s="626"/>
      <c r="AM394" s="616"/>
      <c r="AN394" s="615"/>
      <c r="AO394" s="626"/>
      <c r="AP394" s="626"/>
      <c r="AQ394" s="616"/>
      <c r="AR394" s="615"/>
      <c r="AS394" s="626"/>
      <c r="AT394" s="643"/>
      <c r="AU394" s="101"/>
      <c r="AV394" s="72"/>
      <c r="AW394" s="72"/>
      <c r="AX394" s="72"/>
      <c r="AY394" s="72"/>
      <c r="AZ394" s="72"/>
      <c r="BA394" s="72"/>
      <c r="BB394" s="72"/>
    </row>
    <row r="395" spans="2:54" ht="15" customHeight="1" x14ac:dyDescent="0.25">
      <c r="B395" s="373"/>
      <c r="C395" s="1104" t="s">
        <v>171</v>
      </c>
      <c r="D395" s="1105"/>
      <c r="E395" s="1105"/>
      <c r="F395" s="1105"/>
      <c r="G395" s="1105"/>
      <c r="H395" s="1105"/>
      <c r="I395" s="1105"/>
      <c r="J395" s="341"/>
      <c r="K395" s="341"/>
      <c r="L395" s="341"/>
      <c r="M395" s="341"/>
      <c r="N395" s="341"/>
      <c r="O395" s="341"/>
      <c r="P395" s="341"/>
      <c r="Q395" s="341"/>
      <c r="R395" s="341"/>
      <c r="S395" s="341"/>
      <c r="T395" s="341"/>
      <c r="U395" s="341"/>
      <c r="V395" s="341"/>
      <c r="W395" s="341"/>
      <c r="X395" s="341"/>
      <c r="Y395" s="341"/>
      <c r="Z395" s="341"/>
      <c r="AA395" s="341"/>
      <c r="AB395" s="341"/>
      <c r="AC395" s="342"/>
      <c r="AD395" s="342"/>
      <c r="AE395" s="1111" t="e">
        <f>+AE392+AE387+AE382+AE377+AE372</f>
        <v>#REF!</v>
      </c>
      <c r="AF395" s="353">
        <f>SUM(AF369:AF393)</f>
        <v>0</v>
      </c>
      <c r="AG395" s="426" t="s">
        <v>315</v>
      </c>
      <c r="AH395" s="432">
        <f t="shared" ref="AH395:AS395" si="40">+AH372+AH377+AH382+AH387+AH392</f>
        <v>8719000</v>
      </c>
      <c r="AI395" s="432">
        <f t="shared" si="40"/>
        <v>79882000</v>
      </c>
      <c r="AJ395" s="432">
        <f t="shared" si="40"/>
        <v>1972485800</v>
      </c>
      <c r="AK395" s="432">
        <f t="shared" si="40"/>
        <v>244773400</v>
      </c>
      <c r="AL395" s="432">
        <f t="shared" si="40"/>
        <v>4074490800</v>
      </c>
      <c r="AM395" s="432">
        <f t="shared" si="40"/>
        <v>269226000</v>
      </c>
      <c r="AN395" s="432">
        <f t="shared" si="40"/>
        <v>4043122400</v>
      </c>
      <c r="AO395" s="432">
        <f t="shared" si="40"/>
        <v>244304400</v>
      </c>
      <c r="AP395" s="432">
        <f t="shared" si="40"/>
        <v>1513596400</v>
      </c>
      <c r="AQ395" s="432">
        <f t="shared" si="40"/>
        <v>1379896994</v>
      </c>
      <c r="AR395" s="432">
        <f t="shared" si="40"/>
        <v>1453400000</v>
      </c>
      <c r="AS395" s="432">
        <f t="shared" si="40"/>
        <v>4925406</v>
      </c>
      <c r="AT395" s="643"/>
      <c r="AU395" s="101"/>
      <c r="AV395" s="72"/>
      <c r="AW395" s="72"/>
      <c r="AX395" s="72"/>
      <c r="AY395" s="72"/>
      <c r="AZ395" s="72"/>
      <c r="BA395" s="72"/>
      <c r="BB395" s="72"/>
    </row>
    <row r="396" spans="2:54" ht="15" customHeight="1" x14ac:dyDescent="0.25">
      <c r="B396" s="373"/>
      <c r="C396" s="1106"/>
      <c r="D396" s="1107"/>
      <c r="E396" s="1107"/>
      <c r="F396" s="1107"/>
      <c r="G396" s="1107"/>
      <c r="H396" s="1107"/>
      <c r="I396" s="1107"/>
      <c r="J396" s="346"/>
      <c r="K396" s="346"/>
      <c r="L396" s="346"/>
      <c r="M396" s="346"/>
      <c r="N396" s="346"/>
      <c r="O396" s="346"/>
      <c r="P396" s="346"/>
      <c r="Q396" s="346"/>
      <c r="R396" s="346"/>
      <c r="S396" s="346"/>
      <c r="T396" s="346"/>
      <c r="U396" s="346"/>
      <c r="V396" s="346"/>
      <c r="W396" s="346"/>
      <c r="X396" s="346"/>
      <c r="Y396" s="346"/>
      <c r="Z396" s="346"/>
      <c r="AA396" s="346"/>
      <c r="AB396" s="346"/>
      <c r="AC396" s="347"/>
      <c r="AD396" s="347"/>
      <c r="AE396" s="1112"/>
      <c r="AF396" s="436"/>
      <c r="AG396" s="511" t="s">
        <v>314</v>
      </c>
      <c r="AH396" s="655">
        <f>+AH373+AH378+AH383+AH388+AH393</f>
        <v>0</v>
      </c>
      <c r="AI396" s="432">
        <f>+AI373+AI378+AI383+AI388+AI393</f>
        <v>19931000</v>
      </c>
      <c r="AJ396" s="432">
        <f>+AJ373+AJ378+AJ383+AJ388+AJ393</f>
        <v>51065000</v>
      </c>
      <c r="AK396" s="432">
        <f>+AK373+AK378+AK383+AK388+AK393</f>
        <v>161636700</v>
      </c>
      <c r="AL396" s="432">
        <f t="shared" ref="AL396:AS396" si="41">+AL373+AL378+AL383+AL388+AL393</f>
        <v>57578500</v>
      </c>
      <c r="AM396" s="432">
        <f t="shared" si="41"/>
        <v>26488000</v>
      </c>
      <c r="AN396" s="432">
        <f t="shared" si="41"/>
        <v>1873092100</v>
      </c>
      <c r="AO396" s="432">
        <f t="shared" si="41"/>
        <v>677254200</v>
      </c>
      <c r="AP396" s="432">
        <f t="shared" si="41"/>
        <v>446418660</v>
      </c>
      <c r="AQ396" s="432">
        <f t="shared" si="41"/>
        <v>1908691172</v>
      </c>
      <c r="AR396" s="432">
        <f t="shared" si="41"/>
        <v>1572497600</v>
      </c>
      <c r="AS396" s="432" t="e">
        <f t="shared" si="41"/>
        <v>#REF!</v>
      </c>
      <c r="AT396" s="643"/>
      <c r="AU396" s="101"/>
      <c r="AV396" s="72"/>
      <c r="AW396" s="72"/>
      <c r="AX396" s="72"/>
      <c r="AY396" s="72"/>
      <c r="AZ396" s="72"/>
      <c r="BA396" s="72"/>
      <c r="BB396" s="72"/>
    </row>
    <row r="397" spans="2:54" ht="15" customHeight="1" x14ac:dyDescent="0.25">
      <c r="B397" s="373"/>
      <c r="C397" s="1104" t="s">
        <v>309</v>
      </c>
      <c r="D397" s="1108"/>
      <c r="E397" s="1108"/>
      <c r="F397" s="1108"/>
      <c r="G397" s="1108"/>
      <c r="H397" s="1108"/>
      <c r="I397" s="1108"/>
      <c r="J397" s="341"/>
      <c r="K397" s="341"/>
      <c r="L397" s="341"/>
      <c r="M397" s="341"/>
      <c r="N397" s="341"/>
      <c r="O397" s="341"/>
      <c r="P397" s="341"/>
      <c r="Q397" s="341"/>
      <c r="R397" s="341"/>
      <c r="S397" s="341"/>
      <c r="T397" s="341"/>
      <c r="U397" s="341"/>
      <c r="V397" s="341"/>
      <c r="W397" s="341"/>
      <c r="X397" s="341"/>
      <c r="Y397" s="341"/>
      <c r="Z397" s="341"/>
      <c r="AA397" s="341"/>
      <c r="AB397" s="341"/>
      <c r="AC397" s="342"/>
      <c r="AD397" s="342"/>
      <c r="AE397" s="1105"/>
      <c r="AF397" s="365"/>
      <c r="AG397" s="471" t="s">
        <v>315</v>
      </c>
      <c r="AH397" s="472">
        <f>+AH395</f>
        <v>8719000</v>
      </c>
      <c r="AI397" s="473">
        <f>+AH397+AI395</f>
        <v>88601000</v>
      </c>
      <c r="AJ397" s="473">
        <f t="shared" ref="AJ397:AS397" si="42">+AI397+AJ395</f>
        <v>2061086800</v>
      </c>
      <c r="AK397" s="473">
        <f t="shared" si="42"/>
        <v>2305860200</v>
      </c>
      <c r="AL397" s="473">
        <f t="shared" si="42"/>
        <v>6380351000</v>
      </c>
      <c r="AM397" s="473">
        <f t="shared" si="42"/>
        <v>6649577000</v>
      </c>
      <c r="AN397" s="473">
        <f t="shared" si="42"/>
        <v>10692699400</v>
      </c>
      <c r="AO397" s="473">
        <f t="shared" si="42"/>
        <v>10937003800</v>
      </c>
      <c r="AP397" s="473">
        <f t="shared" si="42"/>
        <v>12450600200</v>
      </c>
      <c r="AQ397" s="473">
        <f t="shared" si="42"/>
        <v>13830497194</v>
      </c>
      <c r="AR397" s="473">
        <f t="shared" si="42"/>
        <v>15283897194</v>
      </c>
      <c r="AS397" s="473">
        <f t="shared" si="42"/>
        <v>15288822600</v>
      </c>
      <c r="AT397" s="643"/>
      <c r="AU397" s="72"/>
      <c r="AV397" s="72"/>
      <c r="AW397" s="72"/>
      <c r="AX397" s="72"/>
      <c r="AY397" s="72"/>
      <c r="AZ397" s="72"/>
      <c r="BA397" s="72"/>
      <c r="BB397" s="72"/>
    </row>
    <row r="398" spans="2:54" ht="15" customHeight="1" x14ac:dyDescent="0.25">
      <c r="B398" s="373"/>
      <c r="C398" s="1109"/>
      <c r="D398" s="1110"/>
      <c r="E398" s="1110"/>
      <c r="F398" s="1110"/>
      <c r="G398" s="1110"/>
      <c r="H398" s="1110"/>
      <c r="I398" s="1110"/>
      <c r="J398" s="346"/>
      <c r="K398" s="346"/>
      <c r="L398" s="346"/>
      <c r="M398" s="346"/>
      <c r="N398" s="346"/>
      <c r="O398" s="346"/>
      <c r="P398" s="346"/>
      <c r="Q398" s="346"/>
      <c r="R398" s="346"/>
      <c r="S398" s="346"/>
      <c r="T398" s="346"/>
      <c r="U398" s="346"/>
      <c r="V398" s="346"/>
      <c r="W398" s="346"/>
      <c r="X398" s="346"/>
      <c r="Y398" s="346"/>
      <c r="Z398" s="346"/>
      <c r="AA398" s="346"/>
      <c r="AB398" s="346"/>
      <c r="AC398" s="347"/>
      <c r="AD398" s="347"/>
      <c r="AE398" s="1110"/>
      <c r="AF398" s="348"/>
      <c r="AG398" s="431" t="s">
        <v>314</v>
      </c>
      <c r="AH398" s="656">
        <f>+AH396</f>
        <v>0</v>
      </c>
      <c r="AI398" s="481">
        <f>+AH398+AI396</f>
        <v>19931000</v>
      </c>
      <c r="AJ398" s="481">
        <f t="shared" ref="AJ398:AS398" si="43">+AI398+AJ396</f>
        <v>70996000</v>
      </c>
      <c r="AK398" s="481">
        <f t="shared" si="43"/>
        <v>232632700</v>
      </c>
      <c r="AL398" s="481">
        <f t="shared" si="43"/>
        <v>290211200</v>
      </c>
      <c r="AM398" s="481">
        <f t="shared" si="43"/>
        <v>316699200</v>
      </c>
      <c r="AN398" s="481">
        <f t="shared" si="43"/>
        <v>2189791300</v>
      </c>
      <c r="AO398" s="658">
        <f t="shared" si="43"/>
        <v>2867045500</v>
      </c>
      <c r="AP398" s="658">
        <f t="shared" si="43"/>
        <v>3313464160</v>
      </c>
      <c r="AQ398" s="658">
        <f t="shared" si="43"/>
        <v>5222155332</v>
      </c>
      <c r="AR398" s="658">
        <f t="shared" si="43"/>
        <v>6794652932</v>
      </c>
      <c r="AS398" s="658" t="e">
        <f t="shared" si="43"/>
        <v>#REF!</v>
      </c>
      <c r="AT398" s="643"/>
      <c r="AU398" s="72"/>
      <c r="AV398" s="72"/>
      <c r="AW398" s="72"/>
      <c r="AX398" s="72"/>
      <c r="AY398" s="72"/>
      <c r="AZ398" s="72"/>
      <c r="BA398" s="72"/>
      <c r="BB398" s="72"/>
    </row>
    <row r="399" spans="2:54" ht="15" customHeight="1" x14ac:dyDescent="0.25">
      <c r="B399" s="373"/>
      <c r="C399" s="1104" t="s">
        <v>310</v>
      </c>
      <c r="D399" s="1108"/>
      <c r="E399" s="1108"/>
      <c r="F399" s="1108"/>
      <c r="G399" s="1108"/>
      <c r="H399" s="1108"/>
      <c r="I399" s="1108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102"/>
      <c r="AD399" s="102"/>
      <c r="AE399" s="1105"/>
      <c r="AF399" s="177"/>
      <c r="AG399" s="426" t="s">
        <v>315</v>
      </c>
      <c r="AH399" s="468" t="e">
        <f t="shared" ref="AH399:AS399" si="44">+AH397/$AE$395*100</f>
        <v>#REF!</v>
      </c>
      <c r="AI399" s="507" t="e">
        <f t="shared" si="44"/>
        <v>#REF!</v>
      </c>
      <c r="AJ399" s="512" t="e">
        <f t="shared" si="44"/>
        <v>#REF!</v>
      </c>
      <c r="AK399" s="507" t="e">
        <f t="shared" si="44"/>
        <v>#REF!</v>
      </c>
      <c r="AL399" s="507" t="e">
        <f t="shared" si="44"/>
        <v>#REF!</v>
      </c>
      <c r="AM399" s="507" t="e">
        <f t="shared" si="44"/>
        <v>#REF!</v>
      </c>
      <c r="AN399" s="507" t="e">
        <f t="shared" si="44"/>
        <v>#REF!</v>
      </c>
      <c r="AO399" s="466" t="e">
        <f t="shared" si="44"/>
        <v>#REF!</v>
      </c>
      <c r="AP399" s="466" t="e">
        <f t="shared" si="44"/>
        <v>#REF!</v>
      </c>
      <c r="AQ399" s="466" t="e">
        <f t="shared" si="44"/>
        <v>#REF!</v>
      </c>
      <c r="AR399" s="466" t="e">
        <f t="shared" si="44"/>
        <v>#REF!</v>
      </c>
      <c r="AS399" s="466" t="e">
        <f t="shared" si="44"/>
        <v>#REF!</v>
      </c>
      <c r="AT399" s="643"/>
      <c r="AU399" s="72"/>
      <c r="AV399" s="72"/>
      <c r="AW399" s="72"/>
      <c r="AX399" s="72"/>
      <c r="AY399" s="72"/>
      <c r="AZ399" s="72"/>
      <c r="BA399" s="72"/>
      <c r="BB399" s="72"/>
    </row>
    <row r="400" spans="2:54" ht="15" customHeight="1" x14ac:dyDescent="0.25">
      <c r="B400" s="373"/>
      <c r="C400" s="1109"/>
      <c r="D400" s="1110"/>
      <c r="E400" s="1110"/>
      <c r="F400" s="1110"/>
      <c r="G400" s="1110"/>
      <c r="H400" s="1110"/>
      <c r="I400" s="1110"/>
      <c r="J400" s="434"/>
      <c r="K400" s="434"/>
      <c r="L400" s="434"/>
      <c r="M400" s="434"/>
      <c r="N400" s="434"/>
      <c r="O400" s="434"/>
      <c r="P400" s="434"/>
      <c r="Q400" s="434"/>
      <c r="R400" s="434"/>
      <c r="S400" s="434"/>
      <c r="T400" s="434"/>
      <c r="U400" s="434"/>
      <c r="V400" s="434"/>
      <c r="W400" s="434"/>
      <c r="X400" s="434"/>
      <c r="Y400" s="434"/>
      <c r="Z400" s="434"/>
      <c r="AA400" s="434"/>
      <c r="AB400" s="434"/>
      <c r="AC400" s="435"/>
      <c r="AD400" s="435"/>
      <c r="AE400" s="1110"/>
      <c r="AF400" s="467"/>
      <c r="AG400" s="470" t="s">
        <v>314</v>
      </c>
      <c r="AH400" s="506" t="e">
        <f t="shared" ref="AH400:AS400" si="45">+AH398/$AE$395*100</f>
        <v>#REF!</v>
      </c>
      <c r="AI400" s="506" t="e">
        <f t="shared" si="45"/>
        <v>#REF!</v>
      </c>
      <c r="AJ400" s="506" t="e">
        <f t="shared" si="45"/>
        <v>#REF!</v>
      </c>
      <c r="AK400" s="506" t="e">
        <f t="shared" si="45"/>
        <v>#REF!</v>
      </c>
      <c r="AL400" s="506" t="e">
        <f t="shared" si="45"/>
        <v>#REF!</v>
      </c>
      <c r="AM400" s="506" t="e">
        <f t="shared" si="45"/>
        <v>#REF!</v>
      </c>
      <c r="AN400" s="506" t="e">
        <f t="shared" si="45"/>
        <v>#REF!</v>
      </c>
      <c r="AO400" s="506" t="e">
        <f t="shared" si="45"/>
        <v>#REF!</v>
      </c>
      <c r="AP400" s="506" t="e">
        <f t="shared" si="45"/>
        <v>#REF!</v>
      </c>
      <c r="AQ400" s="506" t="e">
        <f t="shared" si="45"/>
        <v>#REF!</v>
      </c>
      <c r="AR400" s="506" t="e">
        <f t="shared" si="45"/>
        <v>#REF!</v>
      </c>
      <c r="AS400" s="506" t="e">
        <f t="shared" si="45"/>
        <v>#REF!</v>
      </c>
      <c r="AT400" s="643"/>
      <c r="AU400" s="72"/>
      <c r="AV400" s="72"/>
      <c r="AW400" s="72"/>
      <c r="AX400" s="72"/>
      <c r="AY400" s="72"/>
      <c r="AZ400" s="72"/>
      <c r="BA400" s="72"/>
      <c r="BB400" s="72"/>
    </row>
    <row r="401" spans="2:54" ht="15" customHeight="1" x14ac:dyDescent="0.25">
      <c r="B401" s="373"/>
      <c r="C401" s="1104" t="s">
        <v>316</v>
      </c>
      <c r="D401" s="1108"/>
      <c r="E401" s="1108"/>
      <c r="F401" s="1108"/>
      <c r="G401" s="1108"/>
      <c r="H401" s="1108"/>
      <c r="I401" s="1108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102"/>
      <c r="AD401" s="102"/>
      <c r="AE401" s="1105"/>
      <c r="AF401" s="177"/>
      <c r="AG401" s="471" t="s">
        <v>317</v>
      </c>
      <c r="AH401" s="469">
        <f t="shared" ref="AH401:AS401" si="46">+AH397-AH398</f>
        <v>8719000</v>
      </c>
      <c r="AI401" s="469">
        <f t="shared" si="46"/>
        <v>68670000</v>
      </c>
      <c r="AJ401" s="469">
        <f t="shared" si="46"/>
        <v>1990090800</v>
      </c>
      <c r="AK401" s="469">
        <f t="shared" si="46"/>
        <v>2073227500</v>
      </c>
      <c r="AL401" s="469">
        <f t="shared" si="46"/>
        <v>6090139800</v>
      </c>
      <c r="AM401" s="469">
        <f t="shared" si="46"/>
        <v>6332877800</v>
      </c>
      <c r="AN401" s="469">
        <f t="shared" si="46"/>
        <v>8502908100</v>
      </c>
      <c r="AO401" s="469">
        <f t="shared" si="46"/>
        <v>8069958300</v>
      </c>
      <c r="AP401" s="469">
        <f t="shared" si="46"/>
        <v>9137136040</v>
      </c>
      <c r="AQ401" s="469">
        <f t="shared" si="46"/>
        <v>8608341862</v>
      </c>
      <c r="AR401" s="469">
        <f t="shared" si="46"/>
        <v>8489244262</v>
      </c>
      <c r="AS401" s="469" t="e">
        <f t="shared" si="46"/>
        <v>#REF!</v>
      </c>
      <c r="AT401" s="643"/>
      <c r="AU401" s="72"/>
      <c r="AV401" s="72"/>
      <c r="AW401" s="72"/>
      <c r="AX401" s="72"/>
      <c r="AY401" s="72"/>
      <c r="AZ401" s="72"/>
      <c r="BA401" s="72"/>
      <c r="BB401" s="72"/>
    </row>
    <row r="402" spans="2:54" ht="15" customHeight="1" x14ac:dyDescent="0.25">
      <c r="B402" s="373"/>
      <c r="C402" s="1109"/>
      <c r="D402" s="1110"/>
      <c r="E402" s="1110"/>
      <c r="F402" s="1110"/>
      <c r="G402" s="1110"/>
      <c r="H402" s="1110"/>
      <c r="I402" s="1110"/>
      <c r="J402" s="346"/>
      <c r="K402" s="346"/>
      <c r="L402" s="346"/>
      <c r="M402" s="346"/>
      <c r="N402" s="346"/>
      <c r="O402" s="346"/>
      <c r="P402" s="346"/>
      <c r="Q402" s="346"/>
      <c r="R402" s="346"/>
      <c r="S402" s="346"/>
      <c r="T402" s="346"/>
      <c r="U402" s="346"/>
      <c r="V402" s="346"/>
      <c r="W402" s="346"/>
      <c r="X402" s="346"/>
      <c r="Y402" s="346"/>
      <c r="Z402" s="346"/>
      <c r="AA402" s="346"/>
      <c r="AB402" s="346"/>
      <c r="AC402" s="347"/>
      <c r="AD402" s="347"/>
      <c r="AE402" s="1110"/>
      <c r="AF402" s="348"/>
      <c r="AG402" s="433" t="s">
        <v>318</v>
      </c>
      <c r="AH402" s="508" t="e">
        <f t="shared" ref="AH402:AS402" si="47">+AH400-AH399</f>
        <v>#REF!</v>
      </c>
      <c r="AI402" s="508" t="e">
        <f t="shared" si="47"/>
        <v>#REF!</v>
      </c>
      <c r="AJ402" s="508" t="e">
        <f t="shared" si="47"/>
        <v>#REF!</v>
      </c>
      <c r="AK402" s="508" t="e">
        <f t="shared" si="47"/>
        <v>#REF!</v>
      </c>
      <c r="AL402" s="508" t="e">
        <f t="shared" si="47"/>
        <v>#REF!</v>
      </c>
      <c r="AM402" s="508" t="e">
        <f t="shared" si="47"/>
        <v>#REF!</v>
      </c>
      <c r="AN402" s="508" t="e">
        <f t="shared" si="47"/>
        <v>#REF!</v>
      </c>
      <c r="AO402" s="508" t="e">
        <f t="shared" si="47"/>
        <v>#REF!</v>
      </c>
      <c r="AP402" s="508" t="e">
        <f t="shared" si="47"/>
        <v>#REF!</v>
      </c>
      <c r="AQ402" s="508" t="e">
        <f t="shared" si="47"/>
        <v>#REF!</v>
      </c>
      <c r="AR402" s="508" t="e">
        <f t="shared" si="47"/>
        <v>#REF!</v>
      </c>
      <c r="AS402" s="508" t="e">
        <f t="shared" si="47"/>
        <v>#REF!</v>
      </c>
      <c r="AT402" s="643"/>
      <c r="AU402" s="72"/>
      <c r="AV402" s="72"/>
      <c r="AW402" s="72"/>
      <c r="AX402" s="72"/>
      <c r="AY402" s="72"/>
      <c r="AZ402" s="72"/>
      <c r="BA402" s="72"/>
      <c r="BB402" s="72"/>
    </row>
    <row r="403" spans="2:54" x14ac:dyDescent="0.25">
      <c r="B403" s="373"/>
      <c r="C403" s="477"/>
      <c r="D403" s="477"/>
      <c r="E403" s="477"/>
      <c r="F403" s="477"/>
      <c r="G403" s="477"/>
      <c r="H403" s="477"/>
      <c r="I403" s="477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102"/>
      <c r="AD403" s="102"/>
      <c r="AE403" s="477"/>
      <c r="AF403" s="177"/>
      <c r="AG403" s="177"/>
      <c r="AH403" s="478"/>
      <c r="AI403" s="478"/>
      <c r="AJ403" s="478"/>
      <c r="AK403" s="478"/>
      <c r="AL403" s="478"/>
      <c r="AM403" s="478"/>
      <c r="AN403" s="478"/>
      <c r="AO403" s="478"/>
      <c r="AP403" s="204"/>
      <c r="AQ403" s="478"/>
      <c r="AR403" s="478"/>
      <c r="AS403" s="479"/>
      <c r="AT403" s="383"/>
      <c r="AU403" s="72"/>
      <c r="AV403" s="72"/>
      <c r="AW403" s="72"/>
      <c r="AX403" s="72"/>
      <c r="AY403" s="72"/>
      <c r="AZ403" s="72"/>
      <c r="BA403" s="72"/>
      <c r="BB403" s="72"/>
    </row>
    <row r="404" spans="2:54" ht="13.8" x14ac:dyDescent="0.25">
      <c r="B404" s="373"/>
      <c r="C404" s="504" t="s">
        <v>326</v>
      </c>
      <c r="D404" s="477"/>
      <c r="E404" s="477"/>
      <c r="F404" s="477"/>
      <c r="G404" s="477"/>
      <c r="H404" s="477"/>
      <c r="I404" s="477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102"/>
      <c r="AD404" s="102"/>
      <c r="AE404" s="623"/>
      <c r="AF404" s="177"/>
      <c r="AG404" s="177"/>
      <c r="AH404" s="478"/>
      <c r="AI404" s="478"/>
      <c r="AJ404" s="478"/>
      <c r="AK404" s="478"/>
      <c r="AL404" s="478"/>
      <c r="AM404" s="478"/>
      <c r="AN404" s="478"/>
      <c r="AO404" s="478"/>
      <c r="AP404" s="1090" t="e">
        <f>+#REF!</f>
        <v>#REF!</v>
      </c>
      <c r="AQ404" s="1090"/>
      <c r="AR404" s="217"/>
      <c r="AS404" s="620"/>
      <c r="AT404" s="383"/>
      <c r="AU404" s="72"/>
      <c r="AV404" s="72"/>
      <c r="AW404" s="72"/>
      <c r="AX404" s="72"/>
      <c r="AY404" s="72"/>
      <c r="AZ404" s="72"/>
      <c r="BA404" s="72"/>
      <c r="BB404" s="72"/>
    </row>
    <row r="405" spans="2:54" ht="13.8" x14ac:dyDescent="0.25">
      <c r="B405" s="373"/>
      <c r="C405" s="642"/>
      <c r="D405" s="642"/>
      <c r="E405" s="176"/>
      <c r="F405" s="176"/>
      <c r="G405" s="480" t="s">
        <v>327</v>
      </c>
      <c r="H405" s="52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102"/>
      <c r="AD405" s="102"/>
      <c r="AE405" s="173"/>
      <c r="AF405" s="177"/>
      <c r="AG405" s="177"/>
      <c r="AH405" s="204"/>
      <c r="AI405" s="217"/>
      <c r="AJ405" s="205"/>
      <c r="AK405" s="205"/>
      <c r="AL405" s="205"/>
      <c r="AM405" s="205"/>
      <c r="AN405" s="205"/>
      <c r="AO405" s="218"/>
      <c r="AP405" s="628" t="e">
        <f>+#REF!</f>
        <v>#REF!</v>
      </c>
      <c r="AQ405" s="217"/>
      <c r="AR405" s="217"/>
      <c r="AS405" s="374"/>
      <c r="AT405" s="383"/>
      <c r="AU405" s="72"/>
      <c r="AV405" s="72"/>
      <c r="AW405" s="72"/>
      <c r="AX405" s="72"/>
      <c r="AY405" s="72"/>
      <c r="AZ405" s="72"/>
      <c r="BA405" s="72"/>
      <c r="BB405" s="72"/>
    </row>
    <row r="406" spans="2:54" ht="13.8" x14ac:dyDescent="0.25">
      <c r="B406" s="373"/>
      <c r="C406" s="642"/>
      <c r="D406" s="642"/>
      <c r="E406" s="176"/>
      <c r="F406" s="176"/>
      <c r="G406" s="480" t="s">
        <v>328</v>
      </c>
      <c r="H406" s="52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102"/>
      <c r="AD406" s="102"/>
      <c r="AE406" s="173"/>
      <c r="AF406" s="177"/>
      <c r="AG406" s="177"/>
      <c r="AH406" s="204"/>
      <c r="AI406" s="217"/>
      <c r="AJ406" s="205"/>
      <c r="AK406" s="205"/>
      <c r="AL406" s="205"/>
      <c r="AM406" s="205"/>
      <c r="AN406" s="205"/>
      <c r="AO406" s="218"/>
      <c r="AP406" s="628"/>
      <c r="AQ406" s="218"/>
      <c r="AR406" s="218"/>
      <c r="AS406" s="374"/>
      <c r="AT406" s="383"/>
      <c r="AU406" s="72"/>
      <c r="AV406" s="72"/>
      <c r="AW406" s="72"/>
      <c r="AX406" s="72"/>
      <c r="AY406" s="72"/>
      <c r="AZ406" s="72"/>
      <c r="BA406" s="72"/>
      <c r="BB406" s="72"/>
    </row>
    <row r="407" spans="2:54" ht="13.8" x14ac:dyDescent="0.25">
      <c r="B407" s="373"/>
      <c r="C407" s="642"/>
      <c r="D407" s="642"/>
      <c r="E407" s="176"/>
      <c r="F407" s="176"/>
      <c r="G407" s="52"/>
      <c r="H407" s="52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102"/>
      <c r="AD407" s="102"/>
      <c r="AE407" s="173"/>
      <c r="AF407" s="177"/>
      <c r="AG407" s="177"/>
      <c r="AH407" s="204"/>
      <c r="AI407" s="217"/>
      <c r="AJ407" s="205"/>
      <c r="AK407" s="205"/>
      <c r="AL407" s="205"/>
      <c r="AM407" s="205"/>
      <c r="AN407" s="205"/>
      <c r="AO407" s="218"/>
      <c r="AP407" s="628"/>
      <c r="AQ407" s="218"/>
      <c r="AR407" s="218"/>
      <c r="AS407" s="374"/>
      <c r="AT407" s="383"/>
      <c r="AU407" s="72"/>
      <c r="AV407" s="72"/>
      <c r="AW407" s="72"/>
      <c r="AX407" s="72"/>
      <c r="AY407" s="72"/>
      <c r="AZ407" s="72"/>
      <c r="BA407" s="72"/>
      <c r="BB407" s="72"/>
    </row>
    <row r="408" spans="2:54" ht="13.8" x14ac:dyDescent="0.25">
      <c r="B408" s="373"/>
      <c r="C408" s="642"/>
      <c r="D408" s="642"/>
      <c r="E408" s="176"/>
      <c r="F408" s="176"/>
      <c r="G408" s="52"/>
      <c r="H408" s="52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102"/>
      <c r="AD408" s="102"/>
      <c r="AE408" s="173"/>
      <c r="AF408" s="177"/>
      <c r="AG408" s="177"/>
      <c r="AH408" s="204"/>
      <c r="AI408" s="217"/>
      <c r="AJ408" s="205"/>
      <c r="AK408" s="205"/>
      <c r="AL408" s="205"/>
      <c r="AM408" s="205"/>
      <c r="AN408" s="205"/>
      <c r="AO408" s="218"/>
      <c r="AP408" s="628"/>
      <c r="AQ408" s="218"/>
      <c r="AR408" s="218"/>
      <c r="AS408" s="374"/>
      <c r="AT408" s="383"/>
      <c r="AU408" s="72"/>
      <c r="AV408" s="72"/>
      <c r="AW408" s="72"/>
      <c r="AX408" s="72"/>
      <c r="AY408" s="72"/>
      <c r="AZ408" s="72"/>
      <c r="BA408" s="72"/>
      <c r="BB408" s="72"/>
    </row>
    <row r="409" spans="2:54" ht="13.8" x14ac:dyDescent="0.25">
      <c r="B409" s="373"/>
      <c r="C409" s="642"/>
      <c r="D409" s="642"/>
      <c r="E409" s="176"/>
      <c r="F409" s="176"/>
      <c r="G409" s="52"/>
      <c r="H409" s="52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102"/>
      <c r="AD409" s="102"/>
      <c r="AE409" s="173"/>
      <c r="AF409" s="177"/>
      <c r="AG409" s="177"/>
      <c r="AH409" s="204"/>
      <c r="AI409" s="217"/>
      <c r="AJ409" s="205"/>
      <c r="AK409" s="205"/>
      <c r="AL409" s="205"/>
      <c r="AM409" s="205"/>
      <c r="AN409" s="205"/>
      <c r="AO409" s="218"/>
      <c r="AP409" s="628"/>
      <c r="AQ409" s="218"/>
      <c r="AR409" s="218"/>
      <c r="AS409" s="374"/>
      <c r="AT409" s="383"/>
      <c r="AU409" s="72"/>
      <c r="AV409" s="72"/>
      <c r="AW409" s="72"/>
      <c r="AX409" s="72"/>
      <c r="AY409" s="72"/>
      <c r="AZ409" s="72"/>
      <c r="BA409" s="72"/>
      <c r="BB409" s="72"/>
    </row>
    <row r="410" spans="2:54" ht="15.6" x14ac:dyDescent="0.4">
      <c r="B410" s="373"/>
      <c r="C410" s="642"/>
      <c r="D410" s="642"/>
      <c r="E410" s="176"/>
      <c r="F410" s="176"/>
      <c r="G410" s="52"/>
      <c r="H410" s="52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102"/>
      <c r="AD410" s="102"/>
      <c r="AE410" s="173"/>
      <c r="AF410" s="177"/>
      <c r="AG410" s="177"/>
      <c r="AH410" s="204"/>
      <c r="AI410" s="217"/>
      <c r="AJ410" s="205"/>
      <c r="AK410" s="205"/>
      <c r="AL410" s="205"/>
      <c r="AM410" s="205"/>
      <c r="AN410" s="205"/>
      <c r="AO410" s="218"/>
      <c r="AP410" s="1089" t="e">
        <f>+#REF!</f>
        <v>#REF!</v>
      </c>
      <c r="AQ410" s="1089"/>
      <c r="AR410" s="218"/>
      <c r="AS410" s="374"/>
      <c r="AT410" s="383"/>
      <c r="AU410" s="72"/>
      <c r="AV410" s="72"/>
      <c r="AW410" s="72"/>
      <c r="AX410" s="72"/>
      <c r="AY410" s="72"/>
      <c r="AZ410" s="72"/>
      <c r="BA410" s="72"/>
      <c r="BB410" s="72"/>
    </row>
    <row r="411" spans="2:54" ht="13.8" x14ac:dyDescent="0.25">
      <c r="B411" s="373"/>
      <c r="C411" s="642"/>
      <c r="D411" s="642"/>
      <c r="E411" s="176"/>
      <c r="F411" s="176"/>
      <c r="G411" s="52"/>
      <c r="H411" s="52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102"/>
      <c r="AD411" s="102"/>
      <c r="AE411" s="173"/>
      <c r="AF411" s="177"/>
      <c r="AG411" s="177"/>
      <c r="AH411" s="204"/>
      <c r="AI411" s="217"/>
      <c r="AJ411" s="205"/>
      <c r="AK411" s="205"/>
      <c r="AL411" s="205"/>
      <c r="AM411" s="205"/>
      <c r="AN411" s="205"/>
      <c r="AO411" s="218"/>
      <c r="AP411" s="628" t="e">
        <f>+#REF!</f>
        <v>#REF!</v>
      </c>
      <c r="AQ411" s="627"/>
      <c r="AR411" s="627"/>
      <c r="AS411" s="374"/>
      <c r="AT411" s="383"/>
      <c r="AU411" s="72"/>
      <c r="AV411" s="72"/>
      <c r="AW411" s="72"/>
      <c r="AX411" s="72"/>
      <c r="AY411" s="72"/>
      <c r="AZ411" s="72"/>
      <c r="BA411" s="72"/>
      <c r="BB411" s="72"/>
    </row>
    <row r="412" spans="2:54" x14ac:dyDescent="0.25">
      <c r="B412" s="343"/>
      <c r="C412" s="375"/>
      <c r="D412" s="375"/>
      <c r="E412" s="344"/>
      <c r="F412" s="344"/>
      <c r="G412" s="345"/>
      <c r="H412" s="345"/>
      <c r="I412" s="346"/>
      <c r="J412" s="346"/>
      <c r="K412" s="346"/>
      <c r="L412" s="346"/>
      <c r="M412" s="346"/>
      <c r="N412" s="346"/>
      <c r="O412" s="346"/>
      <c r="P412" s="346"/>
      <c r="Q412" s="346"/>
      <c r="R412" s="346"/>
      <c r="S412" s="346"/>
      <c r="T412" s="346"/>
      <c r="U412" s="346"/>
      <c r="V412" s="346"/>
      <c r="W412" s="346"/>
      <c r="X412" s="346"/>
      <c r="Y412" s="346"/>
      <c r="Z412" s="346"/>
      <c r="AA412" s="346"/>
      <c r="AB412" s="346"/>
      <c r="AC412" s="347"/>
      <c r="AD412" s="347"/>
      <c r="AE412" s="376"/>
      <c r="AF412" s="348"/>
      <c r="AG412" s="348"/>
      <c r="AH412" s="377"/>
      <c r="AI412" s="378"/>
      <c r="AJ412" s="379"/>
      <c r="AK412" s="379"/>
      <c r="AL412" s="379"/>
      <c r="AM412" s="379"/>
      <c r="AN412" s="379"/>
      <c r="AO412" s="380"/>
      <c r="AP412" s="378"/>
      <c r="AQ412" s="378"/>
      <c r="AR412" s="378"/>
      <c r="AS412" s="381"/>
      <c r="AT412" s="645"/>
      <c r="AU412" s="72"/>
      <c r="AV412" s="72"/>
      <c r="AW412" s="72"/>
      <c r="AX412" s="72"/>
      <c r="AY412" s="72"/>
      <c r="AZ412" s="72"/>
      <c r="BA412" s="72"/>
      <c r="BB412" s="72"/>
    </row>
    <row r="413" spans="2:54" ht="3" customHeight="1" x14ac:dyDescent="0.25">
      <c r="B413" s="330"/>
      <c r="C413" s="330"/>
      <c r="D413" s="330"/>
      <c r="E413" s="176"/>
      <c r="F413" s="176"/>
      <c r="G413" s="52"/>
      <c r="H413" s="52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102"/>
      <c r="AD413" s="102"/>
      <c r="AE413" s="173"/>
      <c r="AF413" s="177"/>
      <c r="AG413" s="177"/>
      <c r="AH413" s="204"/>
      <c r="AI413" s="217"/>
      <c r="AJ413" s="205"/>
      <c r="AK413" s="205"/>
      <c r="AL413" s="206"/>
      <c r="AM413" s="205"/>
      <c r="AN413" s="205"/>
      <c r="AO413" s="218"/>
      <c r="AP413" s="218"/>
      <c r="AQ413" s="218"/>
      <c r="AR413" s="218"/>
      <c r="AS413" s="218"/>
      <c r="AT413" s="156"/>
    </row>
    <row r="414" spans="2:54" x14ac:dyDescent="0.25">
      <c r="B414" s="330"/>
      <c r="C414" s="330"/>
      <c r="D414" s="330"/>
      <c r="E414" s="330"/>
      <c r="F414" s="1124"/>
      <c r="G414" s="1124"/>
      <c r="H414" s="1124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102"/>
      <c r="AD414" s="102"/>
      <c r="AE414" s="173"/>
      <c r="AF414" s="177"/>
      <c r="AG414" s="177"/>
      <c r="AH414" s="204"/>
      <c r="AI414" s="217"/>
      <c r="AJ414" s="205"/>
      <c r="AK414" s="205"/>
      <c r="AL414" s="206"/>
      <c r="AM414" s="205"/>
      <c r="AN414" s="205"/>
      <c r="AO414" s="218"/>
      <c r="AP414" s="218"/>
      <c r="AQ414" s="218"/>
      <c r="AR414" s="218"/>
      <c r="AS414" s="218"/>
      <c r="AT414" s="156"/>
    </row>
    <row r="415" spans="2:54" x14ac:dyDescent="0.25">
      <c r="B415" s="138"/>
      <c r="C415" s="138"/>
      <c r="D415" s="138"/>
      <c r="E415" s="154"/>
      <c r="F415" s="1099"/>
      <c r="G415" s="1099"/>
      <c r="H415" s="1099"/>
      <c r="I415" s="1092"/>
      <c r="J415" s="1092"/>
      <c r="K415" s="1092"/>
      <c r="L415" s="1092"/>
      <c r="M415" s="1092"/>
      <c r="N415" s="1092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207"/>
      <c r="AI415" s="219"/>
      <c r="AJ415" s="219"/>
      <c r="AK415" s="219"/>
      <c r="AL415" s="156"/>
      <c r="AM415" s="156"/>
      <c r="AN415" s="156"/>
      <c r="AO415" s="156"/>
      <c r="AP415" s="156"/>
      <c r="AQ415" s="156"/>
      <c r="AR415" s="156"/>
      <c r="AS415" s="156"/>
      <c r="AT415" s="156"/>
    </row>
    <row r="416" spans="2:54" x14ac:dyDescent="0.25">
      <c r="B416" s="138"/>
      <c r="C416" s="138"/>
      <c r="D416" s="138"/>
      <c r="E416" s="154"/>
      <c r="F416" s="1097"/>
      <c r="G416" s="1097"/>
      <c r="H416" s="1097"/>
      <c r="I416" s="1092"/>
      <c r="J416" s="1092"/>
      <c r="K416" s="1092"/>
      <c r="L416" s="1092"/>
      <c r="M416" s="1092"/>
      <c r="N416" s="1092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207"/>
      <c r="AI416" s="219"/>
      <c r="AJ416" s="219"/>
      <c r="AK416" s="219"/>
      <c r="AL416" s="156"/>
      <c r="AM416" s="156"/>
      <c r="AN416" s="156"/>
      <c r="AO416" s="156"/>
      <c r="AP416" s="156"/>
      <c r="AQ416" s="156"/>
      <c r="AR416" s="156"/>
      <c r="AS416" s="156"/>
      <c r="AT416" s="156"/>
    </row>
    <row r="417" spans="2:46" x14ac:dyDescent="0.25">
      <c r="B417" s="138"/>
      <c r="C417" s="138"/>
      <c r="D417" s="138"/>
      <c r="E417" s="154"/>
      <c r="F417" s="1098"/>
      <c r="G417" s="1098"/>
      <c r="H417" s="1098"/>
      <c r="I417" s="1092"/>
      <c r="J417" s="1092"/>
      <c r="K417" s="1092"/>
      <c r="L417" s="1092"/>
      <c r="M417" s="1092"/>
      <c r="N417" s="1092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207"/>
      <c r="AI417" s="219"/>
      <c r="AJ417" s="219"/>
      <c r="AK417" s="219"/>
      <c r="AL417" s="156"/>
      <c r="AM417" s="156"/>
      <c r="AN417" s="156"/>
      <c r="AO417" s="156"/>
      <c r="AP417" s="156"/>
      <c r="AQ417" s="156"/>
      <c r="AR417" s="156"/>
      <c r="AS417" s="156"/>
      <c r="AT417" s="156"/>
    </row>
    <row r="418" spans="2:46" x14ac:dyDescent="0.25">
      <c r="B418" s="138"/>
      <c r="C418" s="138"/>
      <c r="D418" s="138"/>
      <c r="E418" s="154"/>
      <c r="F418" s="1099"/>
      <c r="G418" s="1099"/>
      <c r="H418" s="1099"/>
      <c r="I418" s="1100"/>
      <c r="J418" s="1100"/>
      <c r="K418" s="1100"/>
      <c r="L418" s="1100"/>
      <c r="M418" s="1100"/>
      <c r="N418" s="1100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207"/>
      <c r="AI418" s="219"/>
      <c r="AJ418" s="219"/>
      <c r="AK418" s="219"/>
      <c r="AL418" s="156"/>
      <c r="AM418" s="156"/>
      <c r="AN418" s="156"/>
      <c r="AO418" s="156"/>
      <c r="AP418" s="156"/>
      <c r="AQ418" s="156"/>
      <c r="AR418" s="156"/>
      <c r="AS418" s="156"/>
      <c r="AT418" s="156"/>
    </row>
    <row r="419" spans="2:46" x14ac:dyDescent="0.25">
      <c r="B419" s="138"/>
      <c r="C419" s="138"/>
      <c r="D419" s="138"/>
      <c r="E419" s="154"/>
      <c r="F419" s="1098"/>
      <c r="G419" s="1098"/>
      <c r="H419" s="1098"/>
      <c r="I419" s="1092"/>
      <c r="J419" s="1092"/>
      <c r="K419" s="1092"/>
      <c r="L419" s="1092"/>
      <c r="M419" s="1092"/>
      <c r="N419" s="1092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207"/>
      <c r="AI419" s="219"/>
      <c r="AJ419" s="219"/>
      <c r="AK419" s="219"/>
      <c r="AL419" s="156"/>
      <c r="AM419" s="156"/>
      <c r="AN419" s="156"/>
      <c r="AO419" s="156"/>
      <c r="AP419" s="156"/>
      <c r="AQ419" s="156"/>
      <c r="AR419" s="156"/>
      <c r="AS419" s="156"/>
      <c r="AT419" s="156"/>
    </row>
    <row r="420" spans="2:46" x14ac:dyDescent="0.25">
      <c r="B420" s="138"/>
      <c r="C420" s="138"/>
      <c r="D420" s="138"/>
      <c r="E420" s="154"/>
      <c r="F420" s="1097"/>
      <c r="G420" s="1097"/>
      <c r="H420" s="1097"/>
      <c r="I420" s="1092"/>
      <c r="J420" s="1092"/>
      <c r="K420" s="1092"/>
      <c r="L420" s="1092"/>
      <c r="M420" s="1092"/>
      <c r="N420" s="1092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207"/>
      <c r="AI420" s="219"/>
      <c r="AJ420" s="219"/>
      <c r="AK420" s="219"/>
      <c r="AL420" s="156"/>
      <c r="AM420" s="156"/>
      <c r="AN420" s="156"/>
      <c r="AO420" s="156"/>
      <c r="AP420" s="156"/>
      <c r="AQ420" s="156"/>
      <c r="AR420" s="156"/>
      <c r="AS420" s="156"/>
      <c r="AT420" s="156"/>
    </row>
    <row r="421" spans="2:46" x14ac:dyDescent="0.25">
      <c r="B421" s="138"/>
      <c r="C421" s="138"/>
      <c r="D421" s="138"/>
      <c r="E421" s="154"/>
      <c r="F421" s="1095"/>
      <c r="G421" s="1095"/>
      <c r="H421" s="1095"/>
      <c r="I421" s="1096"/>
      <c r="J421" s="1096"/>
      <c r="K421" s="1096"/>
      <c r="L421" s="1096"/>
      <c r="M421" s="1096"/>
      <c r="N421" s="1096"/>
      <c r="O421" s="384"/>
      <c r="P421" s="384"/>
      <c r="Q421" s="384"/>
      <c r="R421" s="384"/>
      <c r="S421" s="384"/>
      <c r="T421" s="384"/>
      <c r="U421" s="384"/>
      <c r="V421" s="384"/>
      <c r="W421" s="384"/>
      <c r="X421" s="384"/>
      <c r="Y421" s="384"/>
      <c r="Z421" s="384"/>
      <c r="AA421" s="384"/>
      <c r="AB421" s="384"/>
      <c r="AC421" s="384"/>
      <c r="AD421" s="384"/>
      <c r="AE421" s="384"/>
      <c r="AF421" s="138"/>
      <c r="AG421" s="138"/>
      <c r="AH421" s="207"/>
      <c r="AI421" s="219"/>
      <c r="AJ421" s="219"/>
      <c r="AK421" s="219"/>
      <c r="AL421" s="156"/>
      <c r="AM421" s="156"/>
      <c r="AN421" s="156"/>
      <c r="AO421" s="156"/>
      <c r="AP421" s="156"/>
      <c r="AQ421" s="156"/>
      <c r="AR421" s="156"/>
      <c r="AS421" s="156"/>
      <c r="AT421" s="156"/>
    </row>
    <row r="422" spans="2:46" x14ac:dyDescent="0.25"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  <c r="AD422" s="138"/>
      <c r="AE422" s="138"/>
      <c r="AF422" s="138"/>
      <c r="AG422" s="138"/>
      <c r="AH422" s="207"/>
      <c r="AI422" s="219"/>
      <c r="AJ422" s="219"/>
      <c r="AK422" s="219"/>
      <c r="AL422" s="156"/>
      <c r="AM422" s="156"/>
      <c r="AN422" s="156"/>
      <c r="AO422" s="156"/>
      <c r="AP422" s="156"/>
      <c r="AQ422" s="156"/>
      <c r="AR422" s="156"/>
      <c r="AS422" s="156"/>
      <c r="AT422" s="156"/>
    </row>
    <row r="423" spans="2:46" x14ac:dyDescent="0.25">
      <c r="B423" s="138"/>
      <c r="C423" s="138"/>
      <c r="D423" s="138"/>
      <c r="E423" s="158"/>
      <c r="F423" s="138"/>
      <c r="G423" s="138"/>
      <c r="H423" s="138"/>
      <c r="I423" s="138"/>
      <c r="J423" s="138"/>
      <c r="K423" s="138"/>
      <c r="L423" s="138"/>
      <c r="M423" s="138"/>
      <c r="N423" s="1091"/>
      <c r="O423" s="1091"/>
      <c r="P423" s="1091"/>
      <c r="Q423" s="1091"/>
      <c r="R423" s="1091"/>
      <c r="S423" s="1091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  <c r="AD423" s="138"/>
      <c r="AE423" s="138"/>
      <c r="AF423" s="138"/>
      <c r="AG423" s="138"/>
      <c r="AH423" s="207"/>
      <c r="AI423" s="219"/>
      <c r="AJ423" s="219"/>
      <c r="AK423" s="219"/>
      <c r="AL423" s="156"/>
      <c r="AM423" s="156"/>
      <c r="AN423" s="156"/>
      <c r="AO423" s="156"/>
      <c r="AP423" s="156"/>
      <c r="AQ423" s="156"/>
      <c r="AR423" s="156"/>
      <c r="AS423" s="156"/>
      <c r="AT423" s="156"/>
    </row>
    <row r="424" spans="2:46" x14ac:dyDescent="0.25">
      <c r="B424" s="138"/>
      <c r="C424" s="138"/>
      <c r="D424" s="138"/>
      <c r="E424" s="159"/>
      <c r="F424" s="138"/>
      <c r="G424" s="138"/>
      <c r="I424" s="138"/>
      <c r="J424" s="138"/>
      <c r="K424" s="138"/>
      <c r="L424" s="138"/>
      <c r="M424" s="138"/>
      <c r="N424" s="1091"/>
      <c r="O424" s="1091"/>
      <c r="P424" s="1091"/>
      <c r="Q424" s="1091"/>
      <c r="R424" s="1091"/>
      <c r="S424" s="1091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  <c r="AD424" s="138"/>
      <c r="AE424" s="138"/>
      <c r="AF424" s="138"/>
      <c r="AG424" s="138"/>
      <c r="AH424" s="207"/>
      <c r="AI424" s="219"/>
      <c r="AJ424" s="219"/>
      <c r="AK424" s="219"/>
      <c r="AL424" s="156"/>
      <c r="AM424" s="156"/>
      <c r="AN424" s="156"/>
      <c r="AO424" s="156"/>
      <c r="AP424" s="156"/>
      <c r="AQ424" s="156"/>
      <c r="AR424" s="156"/>
      <c r="AS424" s="156"/>
      <c r="AT424" s="156"/>
    </row>
    <row r="425" spans="2:46" x14ac:dyDescent="0.25">
      <c r="B425" s="138"/>
      <c r="C425" s="138"/>
      <c r="D425" s="138"/>
      <c r="E425" s="139"/>
      <c r="F425" s="138"/>
      <c r="G425" s="138"/>
      <c r="H425" s="138"/>
      <c r="I425" s="138"/>
      <c r="J425" s="138"/>
      <c r="K425" s="138"/>
      <c r="L425" s="138"/>
      <c r="M425" s="138"/>
      <c r="N425" s="1091"/>
      <c r="O425" s="1091"/>
      <c r="P425" s="1091"/>
      <c r="Q425" s="1091"/>
      <c r="R425" s="1091"/>
      <c r="S425" s="1091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  <c r="AD425" s="138"/>
      <c r="AE425" s="138"/>
      <c r="AF425" s="138"/>
      <c r="AG425" s="138"/>
      <c r="AH425" s="207"/>
      <c r="AI425" s="219"/>
      <c r="AJ425" s="219"/>
      <c r="AK425" s="219"/>
      <c r="AL425" s="156"/>
      <c r="AM425" s="156"/>
      <c r="AN425" s="156"/>
      <c r="AO425" s="156"/>
      <c r="AP425" s="156"/>
      <c r="AQ425" s="156"/>
      <c r="AR425" s="156"/>
      <c r="AS425" s="156"/>
      <c r="AT425" s="156"/>
    </row>
    <row r="426" spans="2:46" x14ac:dyDescent="0.25">
      <c r="B426" s="138"/>
      <c r="C426" s="138"/>
      <c r="D426" s="138"/>
      <c r="E426" s="138"/>
      <c r="F426" s="138"/>
      <c r="G426" s="138"/>
      <c r="H426" s="138"/>
      <c r="I426" s="138"/>
      <c r="J426" s="138"/>
      <c r="K426" s="301" t="s">
        <v>171</v>
      </c>
      <c r="L426" s="302"/>
      <c r="M426" s="302"/>
      <c r="N426" s="1093">
        <f>SUM(N423:S425)</f>
        <v>0</v>
      </c>
      <c r="O426" s="1093"/>
      <c r="P426" s="1093"/>
      <c r="Q426" s="1093"/>
      <c r="R426" s="1093"/>
      <c r="S426" s="1094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  <c r="AE426" s="138"/>
      <c r="AF426" s="138"/>
      <c r="AG426" s="138"/>
      <c r="AH426" s="207"/>
      <c r="AI426" s="219"/>
      <c r="AJ426" s="219"/>
      <c r="AK426" s="219"/>
      <c r="AL426" s="156"/>
      <c r="AM426" s="156"/>
      <c r="AN426" s="156"/>
      <c r="AO426" s="156"/>
      <c r="AP426" s="156"/>
      <c r="AQ426" s="156"/>
      <c r="AR426" s="156"/>
      <c r="AS426" s="156"/>
      <c r="AT426" s="156"/>
    </row>
    <row r="427" spans="2:46" x14ac:dyDescent="0.25"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091"/>
      <c r="O427" s="1091"/>
      <c r="P427" s="1091"/>
      <c r="Q427" s="1091"/>
      <c r="R427" s="1091"/>
      <c r="S427" s="1091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  <c r="AD427" s="138"/>
      <c r="AE427" s="138"/>
      <c r="AF427" s="138"/>
      <c r="AG427" s="138"/>
      <c r="AH427" s="207"/>
      <c r="AI427" s="219"/>
      <c r="AJ427" s="219"/>
      <c r="AK427" s="219"/>
      <c r="AL427" s="156"/>
      <c r="AM427" s="156"/>
      <c r="AN427" s="156"/>
      <c r="AO427" s="156"/>
      <c r="AP427" s="156"/>
      <c r="AQ427" s="156"/>
      <c r="AR427" s="156"/>
      <c r="AS427" s="156"/>
      <c r="AT427" s="156"/>
    </row>
    <row r="428" spans="2:46" x14ac:dyDescent="0.25"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  <c r="AD428" s="138"/>
      <c r="AE428" s="138"/>
      <c r="AF428" s="138"/>
      <c r="AG428" s="138"/>
      <c r="AH428" s="207"/>
      <c r="AI428" s="219"/>
      <c r="AJ428" s="219"/>
      <c r="AK428" s="219"/>
      <c r="AL428" s="156"/>
      <c r="AM428" s="156"/>
      <c r="AN428" s="156"/>
      <c r="AO428" s="156"/>
      <c r="AP428" s="156"/>
      <c r="AQ428" s="156"/>
      <c r="AR428" s="156"/>
      <c r="AS428" s="156"/>
      <c r="AT428" s="156"/>
    </row>
    <row r="429" spans="2:46" x14ac:dyDescent="0.25"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  <c r="AE429" s="138"/>
      <c r="AF429" s="138"/>
      <c r="AG429" s="138"/>
      <c r="AH429" s="207"/>
      <c r="AI429" s="219"/>
      <c r="AJ429" s="219"/>
      <c r="AK429" s="219"/>
      <c r="AL429" s="156"/>
      <c r="AM429" s="156"/>
      <c r="AN429" s="156"/>
      <c r="AO429" s="156"/>
      <c r="AP429" s="156"/>
      <c r="AQ429" s="156"/>
      <c r="AR429" s="156"/>
      <c r="AS429" s="156"/>
      <c r="AT429" s="156"/>
    </row>
    <row r="430" spans="2:46" x14ac:dyDescent="0.25"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  <c r="AD430" s="138"/>
      <c r="AE430" s="138"/>
      <c r="AF430" s="138"/>
      <c r="AG430" s="138"/>
      <c r="AH430" s="207"/>
      <c r="AI430" s="219"/>
      <c r="AJ430" s="219"/>
      <c r="AK430" s="219"/>
      <c r="AL430" s="156"/>
      <c r="AM430" s="156"/>
      <c r="AN430" s="156"/>
      <c r="AO430" s="156"/>
      <c r="AP430" s="156"/>
      <c r="AQ430" s="156"/>
      <c r="AR430" s="156"/>
      <c r="AS430" s="156"/>
      <c r="AT430" s="156"/>
    </row>
    <row r="431" spans="2:46" x14ac:dyDescent="0.25"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  <c r="AD431" s="138"/>
      <c r="AE431" s="138"/>
      <c r="AF431" s="138"/>
      <c r="AG431" s="138"/>
      <c r="AH431" s="207"/>
      <c r="AI431" s="219"/>
      <c r="AJ431" s="219"/>
      <c r="AK431" s="219"/>
      <c r="AL431" s="156"/>
      <c r="AM431" s="156"/>
      <c r="AN431" s="156"/>
      <c r="AO431" s="156"/>
      <c r="AP431" s="156"/>
      <c r="AQ431" s="156"/>
      <c r="AR431" s="156"/>
      <c r="AS431" s="156"/>
      <c r="AT431" s="156"/>
    </row>
    <row r="432" spans="2:46" x14ac:dyDescent="0.25"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  <c r="AE432" s="138"/>
      <c r="AF432" s="138"/>
      <c r="AG432" s="138"/>
      <c r="AH432" s="207"/>
      <c r="AI432" s="219"/>
      <c r="AJ432" s="219"/>
      <c r="AK432" s="219"/>
      <c r="AL432" s="156"/>
      <c r="AM432" s="156"/>
      <c r="AN432" s="156"/>
      <c r="AO432" s="156"/>
      <c r="AP432" s="156"/>
      <c r="AQ432" s="156"/>
      <c r="AR432" s="156"/>
      <c r="AS432" s="156"/>
      <c r="AT432" s="156"/>
    </row>
    <row r="433" spans="2:46" x14ac:dyDescent="0.25"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  <c r="AD433" s="138"/>
      <c r="AE433" s="138"/>
      <c r="AF433" s="138"/>
      <c r="AG433" s="138"/>
      <c r="AH433" s="207"/>
      <c r="AI433" s="219"/>
      <c r="AJ433" s="219"/>
      <c r="AK433" s="219"/>
      <c r="AL433" s="156"/>
      <c r="AM433" s="156"/>
      <c r="AN433" s="156"/>
      <c r="AO433" s="156"/>
      <c r="AP433" s="156"/>
      <c r="AQ433" s="156"/>
      <c r="AR433" s="156"/>
      <c r="AS433" s="156"/>
      <c r="AT433" s="156"/>
    </row>
    <row r="434" spans="2:46" x14ac:dyDescent="0.25"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  <c r="AD434" s="138"/>
      <c r="AE434" s="138"/>
      <c r="AF434" s="138"/>
      <c r="AG434" s="138"/>
      <c r="AH434" s="207"/>
      <c r="AI434" s="219"/>
      <c r="AJ434" s="219"/>
      <c r="AK434" s="219"/>
      <c r="AL434" s="156"/>
      <c r="AM434" s="156"/>
      <c r="AN434" s="156"/>
      <c r="AO434" s="156"/>
      <c r="AP434" s="156"/>
      <c r="AQ434" s="156"/>
      <c r="AR434" s="156"/>
      <c r="AS434" s="156"/>
      <c r="AT434" s="156"/>
    </row>
    <row r="435" spans="2:46" x14ac:dyDescent="0.25"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207"/>
      <c r="AI435" s="219"/>
      <c r="AJ435" s="219"/>
      <c r="AK435" s="219"/>
      <c r="AL435" s="156"/>
      <c r="AM435" s="156"/>
      <c r="AN435" s="156"/>
      <c r="AO435" s="156"/>
      <c r="AP435" s="156"/>
      <c r="AQ435" s="156"/>
      <c r="AR435" s="156"/>
      <c r="AS435" s="156"/>
      <c r="AT435" s="156"/>
    </row>
    <row r="436" spans="2:46" x14ac:dyDescent="0.25"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  <c r="AD436" s="138"/>
      <c r="AE436" s="138"/>
      <c r="AF436" s="138"/>
      <c r="AG436" s="138"/>
      <c r="AH436" s="207"/>
      <c r="AI436" s="219"/>
      <c r="AJ436" s="219"/>
      <c r="AK436" s="219"/>
      <c r="AL436" s="156"/>
      <c r="AM436" s="156"/>
      <c r="AN436" s="156"/>
      <c r="AO436" s="156"/>
      <c r="AP436" s="156"/>
      <c r="AQ436" s="156"/>
      <c r="AR436" s="156"/>
      <c r="AS436" s="156"/>
      <c r="AT436" s="156"/>
    </row>
    <row r="437" spans="2:46" x14ac:dyDescent="0.25"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207"/>
      <c r="AI437" s="207"/>
      <c r="AJ437" s="207"/>
      <c r="AK437" s="207"/>
      <c r="AL437" s="155"/>
      <c r="AM437" s="155"/>
      <c r="AN437" s="155"/>
      <c r="AO437" s="155"/>
      <c r="AP437" s="155"/>
      <c r="AQ437" s="155"/>
      <c r="AR437" s="155"/>
      <c r="AS437" s="155"/>
      <c r="AT437" s="156"/>
    </row>
    <row r="438" spans="2:46" x14ac:dyDescent="0.25"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207"/>
      <c r="AI438" s="207"/>
      <c r="AJ438" s="207"/>
      <c r="AK438" s="207"/>
      <c r="AL438" s="155"/>
      <c r="AM438" s="155"/>
      <c r="AN438" s="155"/>
      <c r="AO438" s="155"/>
      <c r="AP438" s="155"/>
      <c r="AQ438" s="155"/>
      <c r="AR438" s="155"/>
      <c r="AS438" s="155"/>
      <c r="AT438" s="156"/>
    </row>
    <row r="439" spans="2:46" x14ac:dyDescent="0.25"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207"/>
      <c r="AI439" s="207"/>
      <c r="AJ439" s="207"/>
      <c r="AK439" s="207"/>
      <c r="AL439" s="155"/>
      <c r="AM439" s="155"/>
      <c r="AN439" s="155"/>
      <c r="AO439" s="155"/>
      <c r="AP439" s="155"/>
      <c r="AQ439" s="155"/>
      <c r="AR439" s="155"/>
      <c r="AS439" s="155"/>
      <c r="AT439" s="156"/>
    </row>
    <row r="440" spans="2:46" x14ac:dyDescent="0.25"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  <c r="AD440" s="138"/>
      <c r="AE440" s="138"/>
      <c r="AF440" s="138"/>
      <c r="AG440" s="138"/>
      <c r="AH440" s="207"/>
      <c r="AI440" s="207"/>
      <c r="AJ440" s="207"/>
      <c r="AK440" s="207"/>
      <c r="AL440" s="155"/>
      <c r="AM440" s="155"/>
      <c r="AN440" s="155"/>
      <c r="AO440" s="155"/>
      <c r="AP440" s="155"/>
      <c r="AQ440" s="155"/>
      <c r="AR440" s="155"/>
      <c r="AS440" s="155"/>
      <c r="AT440" s="156"/>
    </row>
    <row r="441" spans="2:46" x14ac:dyDescent="0.25"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207"/>
      <c r="AI441" s="207"/>
      <c r="AJ441" s="207"/>
      <c r="AK441" s="207"/>
      <c r="AL441" s="155"/>
      <c r="AM441" s="155"/>
      <c r="AN441" s="155"/>
      <c r="AO441" s="155"/>
      <c r="AP441" s="155"/>
      <c r="AQ441" s="155"/>
      <c r="AR441" s="155"/>
      <c r="AS441" s="155"/>
      <c r="AT441" s="156"/>
    </row>
    <row r="442" spans="2:46" x14ac:dyDescent="0.25"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207"/>
      <c r="AI442" s="207"/>
      <c r="AJ442" s="207"/>
      <c r="AK442" s="207"/>
      <c r="AL442" s="155"/>
      <c r="AM442" s="155"/>
      <c r="AN442" s="155"/>
      <c r="AO442" s="155"/>
      <c r="AP442" s="155"/>
      <c r="AQ442" s="155"/>
      <c r="AR442" s="155"/>
      <c r="AS442" s="155"/>
      <c r="AT442" s="156"/>
    </row>
    <row r="443" spans="2:46" x14ac:dyDescent="0.25"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207"/>
      <c r="AI443" s="207"/>
      <c r="AJ443" s="207"/>
      <c r="AK443" s="207"/>
      <c r="AL443" s="155"/>
      <c r="AM443" s="155"/>
      <c r="AN443" s="155"/>
      <c r="AO443" s="155"/>
      <c r="AP443" s="155"/>
      <c r="AQ443" s="155"/>
      <c r="AR443" s="155"/>
      <c r="AS443" s="155"/>
      <c r="AT443" s="156"/>
    </row>
    <row r="444" spans="2:46" x14ac:dyDescent="0.25"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207"/>
      <c r="AI444" s="207"/>
      <c r="AJ444" s="207"/>
      <c r="AK444" s="207"/>
      <c r="AL444" s="155"/>
      <c r="AM444" s="155"/>
      <c r="AN444" s="155"/>
      <c r="AO444" s="155"/>
      <c r="AP444" s="155"/>
      <c r="AQ444" s="155"/>
      <c r="AR444" s="155"/>
      <c r="AS444" s="155"/>
      <c r="AT444" s="156"/>
    </row>
    <row r="445" spans="2:46" x14ac:dyDescent="0.25"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207"/>
      <c r="AI445" s="207"/>
      <c r="AJ445" s="207"/>
      <c r="AK445" s="207"/>
      <c r="AL445" s="155"/>
      <c r="AM445" s="155"/>
      <c r="AN445" s="155"/>
      <c r="AO445" s="155"/>
      <c r="AP445" s="155"/>
      <c r="AQ445" s="155"/>
      <c r="AR445" s="155"/>
      <c r="AS445" s="155"/>
      <c r="AT445" s="156"/>
    </row>
    <row r="446" spans="2:46" x14ac:dyDescent="0.25"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  <c r="AE446" s="138"/>
      <c r="AF446" s="138"/>
      <c r="AG446" s="138"/>
      <c r="AH446" s="207"/>
      <c r="AI446" s="207"/>
      <c r="AJ446" s="207"/>
      <c r="AK446" s="207"/>
      <c r="AL446" s="155"/>
      <c r="AM446" s="155"/>
      <c r="AN446" s="155"/>
      <c r="AO446" s="155"/>
      <c r="AP446" s="155"/>
      <c r="AQ446" s="155"/>
      <c r="AR446" s="155"/>
      <c r="AS446" s="155"/>
      <c r="AT446" s="156"/>
    </row>
    <row r="447" spans="2:46" x14ac:dyDescent="0.25"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  <c r="AE447" s="138"/>
      <c r="AF447" s="138"/>
      <c r="AG447" s="138"/>
      <c r="AH447" s="207"/>
      <c r="AI447" s="207"/>
      <c r="AJ447" s="207"/>
      <c r="AK447" s="207"/>
      <c r="AL447" s="155"/>
      <c r="AM447" s="155"/>
      <c r="AN447" s="155"/>
      <c r="AO447" s="155"/>
      <c r="AP447" s="155"/>
      <c r="AQ447" s="155"/>
      <c r="AR447" s="155"/>
      <c r="AS447" s="155"/>
      <c r="AT447" s="156"/>
    </row>
    <row r="448" spans="2:46" x14ac:dyDescent="0.25"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  <c r="AE448" s="138"/>
      <c r="AF448" s="138"/>
      <c r="AG448" s="138"/>
      <c r="AH448" s="138"/>
      <c r="AI448" s="138"/>
      <c r="AJ448" s="138"/>
      <c r="AK448" s="138"/>
      <c r="AT448" s="156">
        <f>SUM(AH448:AS448)</f>
        <v>0</v>
      </c>
    </row>
    <row r="449" spans="2:37" x14ac:dyDescent="0.25"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  <c r="AD449" s="138"/>
      <c r="AE449" s="138"/>
      <c r="AF449" s="138"/>
      <c r="AG449" s="138"/>
      <c r="AH449" s="138"/>
      <c r="AI449" s="138"/>
      <c r="AJ449" s="138"/>
      <c r="AK449" s="138"/>
    </row>
    <row r="450" spans="2:37" x14ac:dyDescent="0.25"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  <c r="AD450" s="138"/>
      <c r="AE450" s="138"/>
      <c r="AF450" s="138"/>
      <c r="AG450" s="138"/>
      <c r="AH450" s="138"/>
      <c r="AI450" s="138"/>
      <c r="AJ450" s="138"/>
      <c r="AK450" s="138"/>
    </row>
    <row r="451" spans="2:37" x14ac:dyDescent="0.25"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  <c r="AD451" s="138"/>
      <c r="AE451" s="138"/>
      <c r="AF451" s="138"/>
      <c r="AG451" s="138"/>
      <c r="AH451" s="138"/>
      <c r="AI451" s="138"/>
      <c r="AJ451" s="138"/>
      <c r="AK451" s="138"/>
    </row>
    <row r="452" spans="2:37" x14ac:dyDescent="0.2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  <c r="AG452" s="138"/>
      <c r="AH452" s="138"/>
      <c r="AI452" s="138"/>
      <c r="AJ452" s="138"/>
      <c r="AK452" s="138"/>
    </row>
    <row r="453" spans="2:37" x14ac:dyDescent="0.25"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  <c r="AD453" s="138"/>
      <c r="AE453" s="138"/>
      <c r="AF453" s="138"/>
      <c r="AG453" s="138"/>
      <c r="AH453" s="138"/>
      <c r="AI453" s="138"/>
      <c r="AJ453" s="138"/>
      <c r="AK453" s="138"/>
    </row>
    <row r="454" spans="2:37" x14ac:dyDescent="0.25"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8"/>
      <c r="AJ454" s="138"/>
      <c r="AK454" s="138"/>
    </row>
    <row r="455" spans="2:37" x14ac:dyDescent="0.25"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  <c r="AD455" s="138"/>
      <c r="AE455" s="138"/>
      <c r="AF455" s="138"/>
      <c r="AG455" s="138"/>
      <c r="AH455" s="138"/>
      <c r="AI455" s="138"/>
      <c r="AJ455" s="138"/>
      <c r="AK455" s="138"/>
    </row>
    <row r="456" spans="2:37" x14ac:dyDescent="0.25"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  <c r="AE456" s="138"/>
      <c r="AF456" s="138"/>
      <c r="AG456" s="138"/>
      <c r="AH456" s="138"/>
      <c r="AI456" s="138"/>
      <c r="AJ456" s="138"/>
      <c r="AK456" s="138"/>
    </row>
  </sheetData>
  <mergeCells count="76">
    <mergeCell ref="B1:AS1"/>
    <mergeCell ref="L6:R6"/>
    <mergeCell ref="AP7:AS7"/>
    <mergeCell ref="B8:F8"/>
    <mergeCell ref="G8:AD10"/>
    <mergeCell ref="AF8:AF9"/>
    <mergeCell ref="AH8:AS8"/>
    <mergeCell ref="B9:F9"/>
    <mergeCell ref="B10:F10"/>
    <mergeCell ref="I135:AD136"/>
    <mergeCell ref="AP86:AQ86"/>
    <mergeCell ref="AQ215:AR215"/>
    <mergeCell ref="H101:AC102"/>
    <mergeCell ref="G128:AD128"/>
    <mergeCell ref="AH86:AI86"/>
    <mergeCell ref="AK86:AL86"/>
    <mergeCell ref="AN86:AO86"/>
    <mergeCell ref="AH183:AI183"/>
    <mergeCell ref="AK183:AL183"/>
    <mergeCell ref="AN183:AO183"/>
    <mergeCell ref="AQ183:AR183"/>
    <mergeCell ref="AH215:AI215"/>
    <mergeCell ref="AK215:AL215"/>
    <mergeCell ref="AN215:AO215"/>
    <mergeCell ref="B11:F11"/>
    <mergeCell ref="G11:AD11"/>
    <mergeCell ref="B12:F12"/>
    <mergeCell ref="B13:AD13"/>
    <mergeCell ref="I14:AC15"/>
    <mergeCell ref="AQ322:AR322"/>
    <mergeCell ref="B365:AS365"/>
    <mergeCell ref="AQ361:AR361"/>
    <mergeCell ref="AN322:AO322"/>
    <mergeCell ref="AH322:AI322"/>
    <mergeCell ref="AK322:AL322"/>
    <mergeCell ref="I324:AD325"/>
    <mergeCell ref="AH361:AI361"/>
    <mergeCell ref="AK361:AL361"/>
    <mergeCell ref="AN361:AO361"/>
    <mergeCell ref="H358:AC359"/>
    <mergeCell ref="G326:AD326"/>
    <mergeCell ref="F415:H415"/>
    <mergeCell ref="I415:N415"/>
    <mergeCell ref="B366:AS366"/>
    <mergeCell ref="C395:I396"/>
    <mergeCell ref="C397:I398"/>
    <mergeCell ref="C399:I400"/>
    <mergeCell ref="C401:I402"/>
    <mergeCell ref="AE395:AE396"/>
    <mergeCell ref="AE397:AE398"/>
    <mergeCell ref="AE399:AE400"/>
    <mergeCell ref="AE401:AE402"/>
    <mergeCell ref="C369:H370"/>
    <mergeCell ref="I369:AE370"/>
    <mergeCell ref="AH369:AS369"/>
    <mergeCell ref="F414:H414"/>
    <mergeCell ref="AR367:AS367"/>
    <mergeCell ref="F421:H421"/>
    <mergeCell ref="I421:N421"/>
    <mergeCell ref="F416:H416"/>
    <mergeCell ref="I416:N416"/>
    <mergeCell ref="F417:H417"/>
    <mergeCell ref="I417:N417"/>
    <mergeCell ref="F418:H418"/>
    <mergeCell ref="I418:N418"/>
    <mergeCell ref="F419:H419"/>
    <mergeCell ref="I419:N419"/>
    <mergeCell ref="F420:H420"/>
    <mergeCell ref="AP410:AQ410"/>
    <mergeCell ref="AP404:AQ404"/>
    <mergeCell ref="N427:S427"/>
    <mergeCell ref="I420:N420"/>
    <mergeCell ref="N423:S423"/>
    <mergeCell ref="N424:S424"/>
    <mergeCell ref="N425:S425"/>
    <mergeCell ref="N426:S426"/>
  </mergeCells>
  <pageMargins left="0.27559055118110237" right="0" top="0.59055118110236227" bottom="0.19685039370078741" header="0.31496062992125984" footer="0.31496062992125984"/>
  <pageSetup paperSize="9" scale="64" orientation="landscape" horizontalDpi="4294967293" vertic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8"/>
  <sheetViews>
    <sheetView view="pageBreakPreview" topLeftCell="A361" zoomScaleSheetLayoutView="100" workbookViewId="0">
      <selection activeCell="C393" sqref="C393"/>
    </sheetView>
  </sheetViews>
  <sheetFormatPr defaultRowHeight="13.2" x14ac:dyDescent="0.25"/>
  <cols>
    <col min="1" max="1" width="3.33203125" customWidth="1"/>
    <col min="2" max="2" width="3.6640625" customWidth="1"/>
    <col min="3" max="3" width="4" customWidth="1"/>
    <col min="4" max="6" width="4.6640625" customWidth="1"/>
    <col min="10" max="10" width="8.88671875" customWidth="1"/>
    <col min="11" max="11" width="12.6640625" customWidth="1"/>
    <col min="12" max="14" width="14.6640625" customWidth="1"/>
    <col min="15" max="15" width="1.6640625" customWidth="1"/>
    <col min="16" max="16" width="18.5546875" customWidth="1"/>
    <col min="17" max="17" width="10.88671875" customWidth="1"/>
    <col min="18" max="19" width="14.6640625" customWidth="1"/>
    <col min="20" max="20" width="10.33203125" bestFit="1" customWidth="1"/>
  </cols>
  <sheetData>
    <row r="1" spans="1:19" ht="22.8" x14ac:dyDescent="0.4">
      <c r="A1" s="554"/>
      <c r="B1" s="1136" t="s">
        <v>346</v>
      </c>
      <c r="C1" s="1136"/>
      <c r="D1" s="1136"/>
      <c r="E1" s="1136"/>
      <c r="F1" s="1136"/>
      <c r="G1" s="1136"/>
      <c r="H1" s="1136"/>
      <c r="I1" s="1136"/>
      <c r="J1" s="1136"/>
      <c r="K1" s="1136"/>
      <c r="L1" s="1136"/>
      <c r="M1" s="1136"/>
      <c r="N1" s="1136"/>
      <c r="O1" s="598"/>
      <c r="P1" s="598" t="s">
        <v>350</v>
      </c>
      <c r="Q1" s="598"/>
      <c r="R1" s="597" t="s">
        <v>332</v>
      </c>
    </row>
    <row r="2" spans="1:19" ht="17.399999999999999" x14ac:dyDescent="0.3">
      <c r="A2" s="554"/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98"/>
      <c r="Q2" s="598"/>
      <c r="R2" s="597"/>
    </row>
    <row r="3" spans="1:19" ht="22.8" x14ac:dyDescent="0.4">
      <c r="A3" s="553"/>
      <c r="B3" s="614" t="s">
        <v>348</v>
      </c>
      <c r="C3" s="614"/>
      <c r="D3" s="604" t="s">
        <v>349</v>
      </c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553"/>
      <c r="P3" s="553"/>
      <c r="Q3" s="553"/>
      <c r="S3" s="552" t="s">
        <v>345</v>
      </c>
    </row>
    <row r="4" spans="1:19" x14ac:dyDescent="0.25">
      <c r="B4" s="613">
        <v>5</v>
      </c>
      <c r="C4" s="613">
        <v>2</v>
      </c>
      <c r="D4" s="613">
        <v>1</v>
      </c>
      <c r="E4" s="176" t="s">
        <v>5</v>
      </c>
      <c r="F4" s="176"/>
      <c r="G4" s="90" t="e">
        <f>+#REF!</f>
        <v>#REF!</v>
      </c>
      <c r="N4" s="525"/>
      <c r="O4" s="525"/>
      <c r="P4" s="525"/>
      <c r="Q4" s="525"/>
    </row>
    <row r="5" spans="1:19" x14ac:dyDescent="0.25">
      <c r="A5" s="630" t="s">
        <v>5</v>
      </c>
      <c r="B5" s="537" t="e">
        <f>+#REF!</f>
        <v>#REF!</v>
      </c>
      <c r="C5" s="537"/>
      <c r="D5" s="537"/>
      <c r="E5" s="537"/>
      <c r="F5" s="537"/>
      <c r="G5" s="537"/>
      <c r="H5" s="537"/>
      <c r="I5" s="522"/>
      <c r="J5" s="522"/>
      <c r="K5" s="522"/>
      <c r="L5" s="543"/>
      <c r="M5" s="543"/>
      <c r="N5" s="521" t="e">
        <f>SUM(N6:N14)</f>
        <v>#REF!</v>
      </c>
      <c r="O5" s="521"/>
      <c r="P5" s="521" t="e">
        <f>+N5+N23+N32+N44+N56+N158+N167</f>
        <v>#REF!</v>
      </c>
      <c r="Q5" s="521"/>
      <c r="R5" s="155">
        <f>+L21+L30+L42+L54+L64+L165+L187</f>
        <v>0</v>
      </c>
      <c r="S5" s="542">
        <f>+'[11]Pagu SDA'!AD222</f>
        <v>44697000</v>
      </c>
    </row>
    <row r="6" spans="1:19" x14ac:dyDescent="0.25">
      <c r="A6" s="612"/>
      <c r="B6" s="629" t="s">
        <v>37</v>
      </c>
      <c r="C6" t="e">
        <f>+#REF!</f>
        <v>#REF!</v>
      </c>
      <c r="D6" s="90"/>
      <c r="E6" s="90"/>
      <c r="F6" s="90"/>
      <c r="G6" s="90"/>
      <c r="H6" s="90"/>
      <c r="I6" s="524"/>
      <c r="J6" s="524"/>
      <c r="K6" s="524"/>
      <c r="L6" s="509"/>
      <c r="M6" s="509"/>
      <c r="N6" s="540" t="e">
        <f>+#REF!</f>
        <v>#REF!</v>
      </c>
      <c r="O6" s="540"/>
      <c r="P6" s="540"/>
      <c r="Q6" s="540"/>
    </row>
    <row r="7" spans="1:19" x14ac:dyDescent="0.25">
      <c r="A7" s="612"/>
      <c r="B7" s="629" t="s">
        <v>37</v>
      </c>
      <c r="C7" s="90" t="e">
        <f>+#REF!</f>
        <v>#REF!</v>
      </c>
      <c r="D7" s="90"/>
      <c r="E7" s="90"/>
      <c r="F7" s="90"/>
      <c r="G7" s="90"/>
      <c r="H7" s="90"/>
      <c r="I7" s="524"/>
      <c r="J7" s="524"/>
      <c r="K7" s="524"/>
      <c r="L7" s="509"/>
      <c r="M7" s="509"/>
      <c r="N7" s="540" t="e">
        <f>+#REF!</f>
        <v>#REF!</v>
      </c>
      <c r="O7" s="540"/>
      <c r="P7" s="540"/>
      <c r="Q7" s="540"/>
    </row>
    <row r="8" spans="1:19" x14ac:dyDescent="0.25">
      <c r="A8" s="612"/>
      <c r="B8" s="629" t="s">
        <v>37</v>
      </c>
      <c r="C8" s="90" t="e">
        <f>+#REF!</f>
        <v>#REF!</v>
      </c>
      <c r="D8" s="90"/>
      <c r="E8" s="90"/>
      <c r="F8" s="90"/>
      <c r="G8" s="90"/>
      <c r="H8" s="90"/>
      <c r="I8" s="524"/>
      <c r="J8" s="524"/>
      <c r="K8" s="524"/>
      <c r="L8" s="509"/>
      <c r="M8" s="509"/>
      <c r="N8" s="540" t="e">
        <f>+#REF!</f>
        <v>#REF!</v>
      </c>
      <c r="O8" s="540"/>
      <c r="P8" s="540"/>
      <c r="Q8" s="540"/>
    </row>
    <row r="9" spans="1:19" x14ac:dyDescent="0.25">
      <c r="A9" s="533"/>
      <c r="B9" s="629" t="s">
        <v>37</v>
      </c>
      <c r="C9" s="90" t="e">
        <f>+#REF!</f>
        <v>#REF!</v>
      </c>
      <c r="D9" s="155"/>
      <c r="E9" s="155"/>
      <c r="F9" s="155"/>
      <c r="G9" s="155"/>
      <c r="H9" s="155"/>
      <c r="I9" s="155"/>
      <c r="J9" s="155"/>
      <c r="K9" s="155"/>
      <c r="N9" s="540" t="e">
        <f>+#REF!</f>
        <v>#REF!</v>
      </c>
      <c r="O9" s="525"/>
      <c r="P9" s="525"/>
      <c r="Q9" s="525"/>
    </row>
    <row r="10" spans="1:19" x14ac:dyDescent="0.25">
      <c r="A10" s="533"/>
      <c r="B10" s="629" t="s">
        <v>37</v>
      </c>
      <c r="C10" s="90" t="e">
        <f>+#REF!</f>
        <v>#REF!</v>
      </c>
      <c r="D10" s="155"/>
      <c r="E10" s="155"/>
      <c r="F10" s="155"/>
      <c r="G10" s="155"/>
      <c r="H10" s="155"/>
      <c r="I10" s="155"/>
      <c r="J10" s="155"/>
      <c r="K10" s="155"/>
      <c r="N10" s="540" t="e">
        <f>+#REF!</f>
        <v>#REF!</v>
      </c>
      <c r="O10" s="525"/>
      <c r="P10" s="525"/>
      <c r="Q10" s="525"/>
    </row>
    <row r="11" spans="1:19" x14ac:dyDescent="0.25">
      <c r="A11" s="533"/>
      <c r="B11" s="629" t="s">
        <v>37</v>
      </c>
      <c r="C11" s="90" t="e">
        <f>+#REF!</f>
        <v>#REF!</v>
      </c>
      <c r="D11" s="155"/>
      <c r="E11" s="155"/>
      <c r="F11" s="155"/>
      <c r="G11" s="155"/>
      <c r="H11" s="155"/>
      <c r="I11" s="155"/>
      <c r="J11" s="155"/>
      <c r="K11" s="155"/>
      <c r="N11" s="540" t="e">
        <f>+#REF!</f>
        <v>#REF!</v>
      </c>
      <c r="O11" s="525"/>
      <c r="P11" s="525"/>
      <c r="Q11" s="525"/>
    </row>
    <row r="12" spans="1:19" x14ac:dyDescent="0.25">
      <c r="A12" s="533"/>
      <c r="B12" s="629" t="s">
        <v>37</v>
      </c>
      <c r="C12" s="90" t="e">
        <f>+#REF!</f>
        <v>#REF!</v>
      </c>
      <c r="D12" s="155"/>
      <c r="E12" s="155"/>
      <c r="F12" s="155"/>
      <c r="G12" s="155"/>
      <c r="H12" s="155"/>
      <c r="I12" s="155"/>
      <c r="J12" s="155"/>
      <c r="K12" s="155"/>
      <c r="N12" s="540" t="e">
        <f>+#REF!</f>
        <v>#REF!</v>
      </c>
      <c r="O12" s="525"/>
      <c r="P12" s="525"/>
      <c r="Q12" s="525"/>
    </row>
    <row r="13" spans="1:19" x14ac:dyDescent="0.25">
      <c r="A13" s="533"/>
      <c r="B13" s="629" t="s">
        <v>37</v>
      </c>
      <c r="C13" s="90" t="e">
        <f>+#REF!</f>
        <v>#REF!</v>
      </c>
      <c r="D13" s="155"/>
      <c r="E13" s="155"/>
      <c r="F13" s="155"/>
      <c r="G13" s="155"/>
      <c r="H13" s="155"/>
      <c r="I13" s="155"/>
      <c r="J13" s="155"/>
      <c r="K13" s="155"/>
      <c r="N13" s="540" t="e">
        <f>+#REF!</f>
        <v>#REF!</v>
      </c>
      <c r="O13" s="525"/>
      <c r="P13" s="525"/>
      <c r="Q13" s="525"/>
    </row>
    <row r="14" spans="1:19" x14ac:dyDescent="0.25">
      <c r="A14" s="533"/>
      <c r="B14" s="629" t="s">
        <v>37</v>
      </c>
      <c r="C14" s="90" t="e">
        <f>+#REF!</f>
        <v>#REF!</v>
      </c>
      <c r="D14" s="155"/>
      <c r="E14" s="155"/>
      <c r="F14" s="155"/>
      <c r="G14" s="155"/>
      <c r="H14" s="155"/>
      <c r="I14" s="155"/>
      <c r="J14" s="155"/>
      <c r="K14" s="155"/>
      <c r="N14" s="540" t="e">
        <f>+#REF!</f>
        <v>#REF!</v>
      </c>
      <c r="O14" s="525"/>
      <c r="P14" s="525"/>
      <c r="Q14" s="525"/>
    </row>
    <row r="15" spans="1:19" x14ac:dyDescent="0.25">
      <c r="A15" s="533"/>
      <c r="B15" s="90"/>
      <c r="C15" s="90"/>
      <c r="D15" s="155"/>
      <c r="E15" s="155"/>
      <c r="F15" s="155"/>
      <c r="G15" s="155"/>
      <c r="H15" s="155"/>
      <c r="I15" s="155"/>
      <c r="J15" s="155"/>
      <c r="K15" s="155"/>
      <c r="N15" s="525"/>
      <c r="O15" s="525"/>
      <c r="P15" s="525"/>
      <c r="Q15" s="525"/>
    </row>
    <row r="16" spans="1:19" ht="13.8" thickBot="1" x14ac:dyDescent="0.3">
      <c r="A16" s="533"/>
      <c r="B16" s="1132" t="s">
        <v>343</v>
      </c>
      <c r="C16" s="1133"/>
      <c r="D16" s="1132" t="s">
        <v>347</v>
      </c>
      <c r="E16" s="1134"/>
      <c r="F16" s="1134"/>
      <c r="G16" s="1134"/>
      <c r="H16" s="1134"/>
      <c r="I16" s="1135"/>
      <c r="J16" s="1138" t="s">
        <v>361</v>
      </c>
      <c r="K16" s="1139"/>
      <c r="L16" s="520" t="s">
        <v>342</v>
      </c>
      <c r="M16" s="520" t="s">
        <v>341</v>
      </c>
      <c r="N16" s="520" t="s">
        <v>312</v>
      </c>
      <c r="O16" s="596"/>
      <c r="P16" s="596"/>
      <c r="Q16" s="596"/>
    </row>
    <row r="17" spans="1:19" ht="13.8" thickTop="1" x14ac:dyDescent="0.25">
      <c r="A17" s="533"/>
      <c r="B17" s="519">
        <v>1</v>
      </c>
      <c r="C17" s="518"/>
      <c r="D17" s="519"/>
      <c r="E17" s="518"/>
      <c r="F17" s="518"/>
      <c r="G17" s="518"/>
      <c r="H17" s="518"/>
      <c r="I17" s="517"/>
      <c r="J17" s="517"/>
      <c r="K17" s="517"/>
      <c r="L17" s="530"/>
      <c r="M17" s="530"/>
      <c r="N17" s="530"/>
      <c r="O17" s="505"/>
      <c r="P17" s="505"/>
      <c r="Q17" s="505"/>
    </row>
    <row r="18" spans="1:19" x14ac:dyDescent="0.25">
      <c r="A18" s="533"/>
      <c r="B18" s="516">
        <f>1+B17</f>
        <v>2</v>
      </c>
      <c r="C18" s="515"/>
      <c r="D18" s="516"/>
      <c r="E18" s="515"/>
      <c r="F18" s="515"/>
      <c r="G18" s="515"/>
      <c r="H18" s="515"/>
      <c r="I18" s="514"/>
      <c r="J18" s="514"/>
      <c r="K18" s="514"/>
      <c r="L18" s="528"/>
      <c r="M18" s="528"/>
      <c r="N18" s="528"/>
      <c r="O18" s="505"/>
      <c r="P18" s="505"/>
      <c r="Q18" s="505"/>
    </row>
    <row r="19" spans="1:19" x14ac:dyDescent="0.25">
      <c r="A19" s="524"/>
      <c r="B19" s="516">
        <f>1+B18</f>
        <v>3</v>
      </c>
      <c r="C19" s="515"/>
      <c r="D19" s="516"/>
      <c r="E19" s="515"/>
      <c r="F19" s="515"/>
      <c r="G19" s="515"/>
      <c r="H19" s="515"/>
      <c r="I19" s="514"/>
      <c r="J19" s="514"/>
      <c r="K19" s="514"/>
      <c r="L19" s="528"/>
      <c r="M19" s="528"/>
      <c r="N19" s="528"/>
      <c r="O19" s="505"/>
      <c r="P19" s="505"/>
      <c r="Q19" s="505"/>
    </row>
    <row r="20" spans="1:19" ht="13.8" thickBot="1" x14ac:dyDescent="0.3">
      <c r="A20" s="524"/>
      <c r="B20" s="516">
        <f>1+B19</f>
        <v>4</v>
      </c>
      <c r="C20" s="515"/>
      <c r="D20" s="516"/>
      <c r="E20" s="515"/>
      <c r="F20" s="515"/>
      <c r="G20" s="515"/>
      <c r="H20" s="515"/>
      <c r="I20" s="514"/>
      <c r="J20" s="514"/>
      <c r="K20" s="514"/>
      <c r="L20" s="528"/>
      <c r="M20" s="528"/>
      <c r="N20" s="528"/>
      <c r="O20" s="505"/>
      <c r="P20" s="505"/>
      <c r="Q20" s="505"/>
    </row>
    <row r="21" spans="1:19" ht="13.8" thickTop="1" x14ac:dyDescent="0.25">
      <c r="A21" s="524"/>
      <c r="B21" s="585"/>
      <c r="C21" s="586"/>
      <c r="D21" s="587" t="s">
        <v>171</v>
      </c>
      <c r="E21" s="586"/>
      <c r="F21" s="586"/>
      <c r="G21" s="586"/>
      <c r="H21" s="586"/>
      <c r="I21" s="588"/>
      <c r="J21" s="588"/>
      <c r="K21" s="588"/>
      <c r="L21" s="589"/>
      <c r="M21" s="589"/>
      <c r="N21" s="589"/>
      <c r="O21" s="592"/>
      <c r="P21" s="592"/>
      <c r="Q21" s="592"/>
    </row>
    <row r="22" spans="1:19" x14ac:dyDescent="0.25">
      <c r="A22" s="155"/>
      <c r="B22" s="155"/>
      <c r="C22" s="505"/>
      <c r="D22" s="155"/>
      <c r="E22" s="155"/>
      <c r="F22" s="155"/>
      <c r="G22" s="155"/>
      <c r="H22" s="155"/>
      <c r="I22" s="505"/>
      <c r="J22" s="505"/>
      <c r="K22" s="505"/>
      <c r="L22" s="155"/>
      <c r="M22" s="155"/>
      <c r="N22" s="155"/>
      <c r="O22" s="155"/>
      <c r="P22" s="155"/>
      <c r="Q22" s="155"/>
    </row>
    <row r="23" spans="1:19" x14ac:dyDescent="0.25">
      <c r="A23" s="630" t="s">
        <v>52</v>
      </c>
      <c r="B23" s="537" t="e">
        <f>+#REF!</f>
        <v>#REF!</v>
      </c>
      <c r="C23" s="537"/>
      <c r="D23" s="537"/>
      <c r="E23" s="537"/>
      <c r="F23" s="537"/>
      <c r="G23" s="537"/>
      <c r="H23" s="537"/>
      <c r="I23" s="522"/>
      <c r="J23" s="522"/>
      <c r="K23" s="522"/>
      <c r="L23" s="538"/>
      <c r="M23" s="538"/>
      <c r="N23" s="538" t="e">
        <f>SUM(N24:N24)</f>
        <v>#REF!</v>
      </c>
      <c r="O23" s="538"/>
      <c r="P23" s="538"/>
      <c r="Q23" s="538"/>
      <c r="S23" s="521">
        <f>+'[11]Pagu SDA'!AD223</f>
        <v>15729000</v>
      </c>
    </row>
    <row r="24" spans="1:19" x14ac:dyDescent="0.25">
      <c r="A24" s="612"/>
      <c r="B24" s="90" t="s">
        <v>37</v>
      </c>
      <c r="C24" s="90" t="e">
        <f>+#REF!</f>
        <v>#REF!</v>
      </c>
      <c r="D24" s="90"/>
      <c r="E24" s="90"/>
      <c r="F24" s="90"/>
      <c r="G24" s="90"/>
      <c r="H24" s="90"/>
      <c r="I24" s="524"/>
      <c r="J24" s="524"/>
      <c r="K24" s="524"/>
      <c r="L24" s="524"/>
      <c r="M24" s="524"/>
      <c r="N24" s="205" t="e">
        <f>+#REF!</f>
        <v>#REF!</v>
      </c>
      <c r="O24" s="205"/>
      <c r="P24" s="205"/>
      <c r="Q24" s="205"/>
    </row>
    <row r="25" spans="1:19" ht="13.8" thickBot="1" x14ac:dyDescent="0.3">
      <c r="A25" s="533"/>
      <c r="B25" s="1132" t="s">
        <v>343</v>
      </c>
      <c r="C25" s="1133"/>
      <c r="D25" s="1132" t="s">
        <v>347</v>
      </c>
      <c r="E25" s="1134"/>
      <c r="F25" s="1134"/>
      <c r="G25" s="1134"/>
      <c r="H25" s="1134"/>
      <c r="I25" s="1135"/>
      <c r="J25" s="1138" t="s">
        <v>361</v>
      </c>
      <c r="K25" s="1139"/>
      <c r="L25" s="578" t="s">
        <v>342</v>
      </c>
      <c r="M25" s="578" t="s">
        <v>341</v>
      </c>
      <c r="N25" s="578" t="s">
        <v>312</v>
      </c>
      <c r="O25" s="591"/>
      <c r="P25" s="591"/>
      <c r="Q25" s="591"/>
    </row>
    <row r="26" spans="1:19" ht="13.8" thickTop="1" x14ac:dyDescent="0.25">
      <c r="A26" s="533"/>
      <c r="B26" s="519">
        <v>1</v>
      </c>
      <c r="C26" s="518"/>
      <c r="D26" s="519"/>
      <c r="E26" s="518"/>
      <c r="F26" s="518"/>
      <c r="G26" s="518"/>
      <c r="H26" s="518"/>
      <c r="I26" s="517"/>
      <c r="J26" s="517"/>
      <c r="K26" s="577"/>
      <c r="L26" s="530"/>
      <c r="M26" s="530"/>
      <c r="N26" s="530"/>
      <c r="O26" s="505"/>
      <c r="P26" s="505"/>
      <c r="Q26" s="505"/>
    </row>
    <row r="27" spans="1:19" x14ac:dyDescent="0.25">
      <c r="A27" s="533"/>
      <c r="B27" s="516">
        <f>+B26+1</f>
        <v>2</v>
      </c>
      <c r="C27" s="515"/>
      <c r="D27" s="516"/>
      <c r="E27" s="515"/>
      <c r="F27" s="515"/>
      <c r="G27" s="515"/>
      <c r="H27" s="515"/>
      <c r="I27" s="514"/>
      <c r="J27" s="514"/>
      <c r="K27" s="514"/>
      <c r="L27" s="528"/>
      <c r="M27" s="528"/>
      <c r="N27" s="528"/>
      <c r="O27" s="505"/>
      <c r="P27" s="505"/>
      <c r="Q27" s="505"/>
    </row>
    <row r="28" spans="1:19" x14ac:dyDescent="0.25">
      <c r="A28" s="533"/>
      <c r="B28" s="516">
        <f>+B27+1</f>
        <v>3</v>
      </c>
      <c r="C28" s="515"/>
      <c r="D28" s="516"/>
      <c r="E28" s="515"/>
      <c r="F28" s="515"/>
      <c r="G28" s="515"/>
      <c r="H28" s="515"/>
      <c r="I28" s="514"/>
      <c r="J28" s="514"/>
      <c r="K28" s="514"/>
      <c r="L28" s="528"/>
      <c r="M28" s="528"/>
      <c r="N28" s="528"/>
      <c r="O28" s="505"/>
      <c r="P28" s="505"/>
      <c r="Q28" s="505"/>
    </row>
    <row r="29" spans="1:19" ht="13.8" thickBot="1" x14ac:dyDescent="0.3">
      <c r="A29" s="524"/>
      <c r="B29" s="516">
        <f>+B28+1</f>
        <v>4</v>
      </c>
      <c r="C29" s="515"/>
      <c r="D29" s="516"/>
      <c r="E29" s="515"/>
      <c r="F29" s="515"/>
      <c r="G29" s="515"/>
      <c r="H29" s="515"/>
      <c r="I29" s="514"/>
      <c r="J29" s="514"/>
      <c r="K29" s="514"/>
      <c r="L29" s="528"/>
      <c r="M29" s="528"/>
      <c r="N29" s="528"/>
      <c r="O29" s="505"/>
      <c r="P29" s="505"/>
      <c r="Q29" s="505"/>
    </row>
    <row r="30" spans="1:19" ht="13.8" thickTop="1" x14ac:dyDescent="0.25">
      <c r="A30" s="524"/>
      <c r="B30" s="585"/>
      <c r="C30" s="586"/>
      <c r="D30" s="587" t="s">
        <v>171</v>
      </c>
      <c r="E30" s="586"/>
      <c r="F30" s="586"/>
      <c r="G30" s="586"/>
      <c r="H30" s="586"/>
      <c r="I30" s="588"/>
      <c r="J30" s="588"/>
      <c r="K30" s="588"/>
      <c r="L30" s="589"/>
      <c r="M30" s="589"/>
      <c r="N30" s="589"/>
      <c r="O30" s="592"/>
      <c r="P30" s="592"/>
      <c r="Q30" s="592"/>
    </row>
    <row r="31" spans="1:19" x14ac:dyDescent="0.25">
      <c r="A31" s="155"/>
      <c r="B31" s="155"/>
      <c r="C31" s="505"/>
      <c r="D31" s="155"/>
      <c r="E31" s="155"/>
      <c r="F31" s="155"/>
      <c r="G31" s="155"/>
      <c r="H31" s="155"/>
      <c r="I31" s="505"/>
      <c r="J31" s="505"/>
      <c r="K31" s="505"/>
      <c r="L31" s="155"/>
      <c r="M31" s="155"/>
      <c r="N31" s="579" t="e">
        <f>SUM(N33:N35)</f>
        <v>#REF!</v>
      </c>
      <c r="O31" s="579"/>
      <c r="P31" s="579"/>
      <c r="Q31" s="579"/>
    </row>
    <row r="32" spans="1:19" x14ac:dyDescent="0.25">
      <c r="A32" s="612"/>
      <c r="B32" s="537" t="e">
        <f>+#REF!</f>
        <v>#REF!</v>
      </c>
      <c r="C32" s="537"/>
      <c r="D32" s="537"/>
      <c r="E32" s="537"/>
      <c r="F32" s="537"/>
      <c r="G32" s="537"/>
      <c r="H32" s="537"/>
      <c r="I32" s="522"/>
      <c r="J32" s="522"/>
      <c r="K32" s="522"/>
      <c r="L32" s="538"/>
      <c r="M32" s="538"/>
      <c r="N32" s="538" t="e">
        <f>SUM(N33:N36)</f>
        <v>#REF!</v>
      </c>
      <c r="O32" s="538"/>
      <c r="P32" s="538"/>
      <c r="Q32" s="538"/>
      <c r="S32" s="521">
        <f>+'[11]Pagu SDA'!AD224</f>
        <v>27706000</v>
      </c>
    </row>
    <row r="33" spans="1:19" x14ac:dyDescent="0.25">
      <c r="A33" s="612"/>
      <c r="B33" s="629" t="s">
        <v>37</v>
      </c>
      <c r="C33" s="90" t="e">
        <f>+#REF!</f>
        <v>#REF!</v>
      </c>
      <c r="D33" s="90"/>
      <c r="E33" s="90"/>
      <c r="F33" s="90"/>
      <c r="G33" s="90"/>
      <c r="H33" s="90"/>
      <c r="I33" s="524"/>
      <c r="J33" s="524"/>
      <c r="K33" s="524"/>
      <c r="L33" s="524"/>
      <c r="M33" s="524"/>
      <c r="N33" s="205" t="e">
        <f>+#REF!</f>
        <v>#REF!</v>
      </c>
      <c r="O33" s="205"/>
      <c r="P33" s="205"/>
      <c r="Q33" s="205"/>
    </row>
    <row r="34" spans="1:19" x14ac:dyDescent="0.25">
      <c r="A34" s="612"/>
      <c r="B34" s="629" t="s">
        <v>37</v>
      </c>
      <c r="C34" s="90" t="e">
        <f>+#REF!</f>
        <v>#REF!</v>
      </c>
      <c r="D34" s="90"/>
      <c r="E34" s="90"/>
      <c r="F34" s="90"/>
      <c r="G34" s="90"/>
      <c r="H34" s="90"/>
      <c r="I34" s="524"/>
      <c r="J34" s="524"/>
      <c r="K34" s="524"/>
      <c r="L34" s="524"/>
      <c r="M34" s="524"/>
      <c r="N34" s="205" t="e">
        <f>+#REF!</f>
        <v>#REF!</v>
      </c>
      <c r="O34" s="205"/>
      <c r="P34" s="205"/>
      <c r="Q34" s="205"/>
    </row>
    <row r="35" spans="1:19" x14ac:dyDescent="0.25">
      <c r="A35" s="612"/>
      <c r="B35" s="629" t="s">
        <v>37</v>
      </c>
      <c r="C35" s="90" t="e">
        <f>+#REF!</f>
        <v>#REF!</v>
      </c>
      <c r="D35" s="90"/>
      <c r="E35" s="90"/>
      <c r="F35" s="90"/>
      <c r="G35" s="90"/>
      <c r="H35" s="90"/>
      <c r="I35" s="524"/>
      <c r="J35" s="524"/>
      <c r="K35" s="524"/>
      <c r="L35" s="524"/>
      <c r="M35" s="524"/>
      <c r="N35" s="205" t="e">
        <f>+#REF!</f>
        <v>#REF!</v>
      </c>
      <c r="O35" s="205"/>
      <c r="P35" s="205"/>
      <c r="Q35" s="205"/>
    </row>
    <row r="36" spans="1:19" x14ac:dyDescent="0.25">
      <c r="A36" s="621"/>
      <c r="B36" s="629" t="s">
        <v>37</v>
      </c>
      <c r="C36" s="90" t="e">
        <f>+#REF!</f>
        <v>#REF!</v>
      </c>
      <c r="D36" s="90"/>
      <c r="E36" s="90"/>
      <c r="F36" s="90"/>
      <c r="G36" s="90"/>
      <c r="H36" s="90"/>
      <c r="I36" s="524"/>
      <c r="J36" s="524"/>
      <c r="K36" s="524"/>
      <c r="L36" s="524"/>
      <c r="M36" s="524"/>
      <c r="N36" s="205" t="e">
        <f>+#REF!</f>
        <v>#REF!</v>
      </c>
      <c r="O36" s="205"/>
      <c r="P36" s="205"/>
      <c r="Q36" s="205"/>
    </row>
    <row r="37" spans="1:19" ht="13.8" thickBot="1" x14ac:dyDescent="0.3">
      <c r="A37" s="533"/>
      <c r="B37" s="1132" t="s">
        <v>343</v>
      </c>
      <c r="C37" s="1133"/>
      <c r="D37" s="1132" t="s">
        <v>347</v>
      </c>
      <c r="E37" s="1134"/>
      <c r="F37" s="1134"/>
      <c r="G37" s="1134"/>
      <c r="H37" s="1134"/>
      <c r="I37" s="1135"/>
      <c r="J37" s="1138" t="s">
        <v>361</v>
      </c>
      <c r="K37" s="1139"/>
      <c r="L37" s="578" t="s">
        <v>342</v>
      </c>
      <c r="M37" s="578" t="s">
        <v>341</v>
      </c>
      <c r="N37" s="578" t="s">
        <v>312</v>
      </c>
      <c r="O37" s="591"/>
      <c r="P37" s="591"/>
      <c r="Q37" s="591"/>
    </row>
    <row r="38" spans="1:19" ht="13.8" thickTop="1" x14ac:dyDescent="0.25">
      <c r="A38" s="533"/>
      <c r="B38" s="519">
        <v>1</v>
      </c>
      <c r="C38" s="518"/>
      <c r="D38" s="519"/>
      <c r="E38" s="518"/>
      <c r="F38" s="518"/>
      <c r="G38" s="518"/>
      <c r="H38" s="518"/>
      <c r="I38" s="517"/>
      <c r="J38" s="517"/>
      <c r="K38" s="517"/>
      <c r="L38" s="530"/>
      <c r="M38" s="530"/>
      <c r="N38" s="530"/>
      <c r="O38" s="505"/>
      <c r="P38" s="505"/>
      <c r="Q38" s="505"/>
    </row>
    <row r="39" spans="1:19" x14ac:dyDescent="0.25">
      <c r="A39" s="533"/>
      <c r="B39" s="516">
        <f>+B38+1</f>
        <v>2</v>
      </c>
      <c r="C39" s="515"/>
      <c r="D39" s="516"/>
      <c r="E39" s="515"/>
      <c r="F39" s="515"/>
      <c r="G39" s="515"/>
      <c r="H39" s="515"/>
      <c r="I39" s="514"/>
      <c r="J39" s="514"/>
      <c r="K39" s="514"/>
      <c r="L39" s="528"/>
      <c r="M39" s="528"/>
      <c r="N39" s="528"/>
      <c r="O39" s="505"/>
      <c r="P39" s="505"/>
      <c r="Q39" s="505"/>
    </row>
    <row r="40" spans="1:19" x14ac:dyDescent="0.25">
      <c r="A40" s="533"/>
      <c r="B40" s="516">
        <f>+B39+1</f>
        <v>3</v>
      </c>
      <c r="C40" s="515"/>
      <c r="D40" s="516"/>
      <c r="E40" s="515"/>
      <c r="F40" s="515"/>
      <c r="G40" s="515"/>
      <c r="H40" s="515"/>
      <c r="I40" s="514"/>
      <c r="J40" s="514"/>
      <c r="K40" s="514"/>
      <c r="L40" s="528"/>
      <c r="M40" s="528"/>
      <c r="N40" s="528"/>
      <c r="O40" s="505"/>
      <c r="P40" s="505"/>
      <c r="Q40" s="505"/>
    </row>
    <row r="41" spans="1:19" ht="13.8" thickBot="1" x14ac:dyDescent="0.3">
      <c r="A41" s="524"/>
      <c r="B41" s="516">
        <f>+B40+1</f>
        <v>4</v>
      </c>
      <c r="C41" s="515"/>
      <c r="D41" s="516"/>
      <c r="E41" s="515"/>
      <c r="F41" s="515"/>
      <c r="G41" s="515"/>
      <c r="H41" s="515"/>
      <c r="I41" s="514"/>
      <c r="J41" s="514"/>
      <c r="K41" s="514"/>
      <c r="L41" s="528"/>
      <c r="M41" s="528"/>
      <c r="N41" s="528"/>
      <c r="O41" s="505"/>
      <c r="P41" s="505"/>
      <c r="Q41" s="505"/>
    </row>
    <row r="42" spans="1:19" ht="13.8" thickTop="1" x14ac:dyDescent="0.25">
      <c r="A42" s="524"/>
      <c r="B42" s="585"/>
      <c r="C42" s="586"/>
      <c r="D42" s="587" t="s">
        <v>171</v>
      </c>
      <c r="E42" s="586"/>
      <c r="F42" s="586"/>
      <c r="G42" s="586"/>
      <c r="H42" s="586"/>
      <c r="I42" s="588"/>
      <c r="J42" s="588"/>
      <c r="K42" s="588"/>
      <c r="L42" s="589">
        <f>SUM(L38:L41)</f>
        <v>0</v>
      </c>
      <c r="M42" s="589"/>
      <c r="N42" s="589" t="e">
        <f>+N32-L42</f>
        <v>#REF!</v>
      </c>
      <c r="O42" s="592"/>
      <c r="P42" s="592"/>
      <c r="Q42" s="592"/>
    </row>
    <row r="43" spans="1:19" x14ac:dyDescent="0.25">
      <c r="A43" s="155"/>
      <c r="B43" s="155"/>
      <c r="C43" s="505"/>
      <c r="D43" s="155"/>
      <c r="E43" s="155"/>
      <c r="F43" s="155"/>
      <c r="G43" s="155"/>
      <c r="H43" s="155"/>
      <c r="I43" s="505"/>
      <c r="J43" s="505"/>
      <c r="K43" s="505"/>
      <c r="L43" s="155"/>
      <c r="M43" s="155"/>
      <c r="N43" s="579" t="e">
        <f>SUM(N45:N48)</f>
        <v>#REF!</v>
      </c>
      <c r="O43" s="579"/>
      <c r="P43" s="579"/>
      <c r="Q43" s="579"/>
    </row>
    <row r="44" spans="1:19" x14ac:dyDescent="0.25">
      <c r="A44" s="612"/>
      <c r="B44" s="537" t="e">
        <f>+#REF!</f>
        <v>#REF!</v>
      </c>
      <c r="C44" s="537"/>
      <c r="D44" s="537"/>
      <c r="E44" s="537"/>
      <c r="F44" s="537"/>
      <c r="G44" s="537"/>
      <c r="H44" s="537"/>
      <c r="I44" s="522"/>
      <c r="J44" s="522"/>
      <c r="K44" s="522"/>
      <c r="L44" s="538"/>
      <c r="M44" s="538"/>
      <c r="N44" s="538" t="e">
        <f>SUM(N45:N48)</f>
        <v>#REF!</v>
      </c>
      <c r="O44" s="538"/>
      <c r="P44" s="538"/>
      <c r="Q44" s="538"/>
      <c r="S44" s="521">
        <f>+'[11]Pagu SDA'!AD225</f>
        <v>23882000</v>
      </c>
    </row>
    <row r="45" spans="1:19" x14ac:dyDescent="0.25">
      <c r="A45" s="612"/>
      <c r="B45" s="629" t="s">
        <v>37</v>
      </c>
      <c r="C45" s="90" t="e">
        <f>+#REF!</f>
        <v>#REF!</v>
      </c>
      <c r="D45" s="90"/>
      <c r="E45" s="90"/>
      <c r="F45" s="90"/>
      <c r="G45" s="90"/>
      <c r="H45" s="90"/>
      <c r="I45" s="524"/>
      <c r="J45" s="524"/>
      <c r="K45" s="524"/>
      <c r="L45" s="524"/>
      <c r="M45" s="524"/>
      <c r="N45" s="205" t="e">
        <f>+#REF!</f>
        <v>#REF!</v>
      </c>
      <c r="O45" s="205"/>
      <c r="P45" s="205"/>
      <c r="Q45" s="205"/>
    </row>
    <row r="46" spans="1:19" x14ac:dyDescent="0.25">
      <c r="A46" s="612"/>
      <c r="B46" s="629" t="s">
        <v>37</v>
      </c>
      <c r="C46" s="90" t="e">
        <f>+#REF!</f>
        <v>#REF!</v>
      </c>
      <c r="D46" s="90"/>
      <c r="E46" s="90"/>
      <c r="F46" s="90"/>
      <c r="G46" s="90"/>
      <c r="H46" s="90"/>
      <c r="I46" s="524"/>
      <c r="J46" s="524"/>
      <c r="K46" s="524"/>
      <c r="L46" s="524"/>
      <c r="M46" s="524"/>
      <c r="N46" s="205" t="e">
        <f>+#REF!</f>
        <v>#REF!</v>
      </c>
      <c r="O46" s="205"/>
      <c r="P46" s="205"/>
      <c r="Q46" s="205"/>
    </row>
    <row r="47" spans="1:19" x14ac:dyDescent="0.25">
      <c r="A47" s="612"/>
      <c r="B47" s="629" t="s">
        <v>37</v>
      </c>
      <c r="C47" s="90" t="e">
        <f>+#REF!</f>
        <v>#REF!</v>
      </c>
      <c r="D47" s="90"/>
      <c r="E47" s="90"/>
      <c r="F47" s="90"/>
      <c r="G47" s="90"/>
      <c r="H47" s="90"/>
      <c r="I47" s="524"/>
      <c r="J47" s="524"/>
      <c r="K47" s="524"/>
      <c r="L47" s="524"/>
      <c r="M47" s="524"/>
      <c r="N47" s="205" t="e">
        <f>+#REF!</f>
        <v>#REF!</v>
      </c>
      <c r="O47" s="205"/>
      <c r="P47" s="205"/>
      <c r="Q47" s="205"/>
    </row>
    <row r="48" spans="1:19" x14ac:dyDescent="0.25">
      <c r="A48" s="612"/>
      <c r="B48" s="629"/>
      <c r="C48" s="90"/>
      <c r="D48" s="90"/>
      <c r="E48" s="90"/>
      <c r="F48" s="90"/>
      <c r="G48" s="90"/>
      <c r="H48" s="90"/>
      <c r="I48" s="524"/>
      <c r="J48" s="524"/>
      <c r="K48" s="524"/>
      <c r="L48" s="524"/>
      <c r="M48" s="524"/>
      <c r="N48" s="205"/>
      <c r="O48" s="205"/>
      <c r="P48" s="205"/>
      <c r="Q48" s="205"/>
    </row>
    <row r="49" spans="1:19" ht="13.8" thickBot="1" x14ac:dyDescent="0.3">
      <c r="A49" s="533"/>
      <c r="B49" s="1132" t="s">
        <v>343</v>
      </c>
      <c r="C49" s="1133"/>
      <c r="D49" s="1132" t="s">
        <v>347</v>
      </c>
      <c r="E49" s="1134"/>
      <c r="F49" s="1134"/>
      <c r="G49" s="1134"/>
      <c r="H49" s="1134"/>
      <c r="I49" s="1135"/>
      <c r="J49" s="1138" t="s">
        <v>361</v>
      </c>
      <c r="K49" s="1139"/>
      <c r="L49" s="578" t="s">
        <v>342</v>
      </c>
      <c r="M49" s="578" t="s">
        <v>341</v>
      </c>
      <c r="N49" s="578" t="s">
        <v>312</v>
      </c>
      <c r="O49" s="591"/>
      <c r="P49" s="591"/>
      <c r="Q49" s="591"/>
    </row>
    <row r="50" spans="1:19" ht="13.8" thickTop="1" x14ac:dyDescent="0.25">
      <c r="A50" s="533"/>
      <c r="B50" s="519">
        <v>1</v>
      </c>
      <c r="C50" s="518"/>
      <c r="D50" s="519"/>
      <c r="E50" s="518"/>
      <c r="F50" s="518"/>
      <c r="G50" s="518"/>
      <c r="H50" s="518"/>
      <c r="I50" s="517"/>
      <c r="J50" s="517"/>
      <c r="K50" s="517"/>
      <c r="L50" s="530"/>
      <c r="M50" s="530"/>
      <c r="N50" s="530"/>
      <c r="O50" s="505"/>
      <c r="P50" s="505"/>
      <c r="Q50" s="505"/>
    </row>
    <row r="51" spans="1:19" x14ac:dyDescent="0.25">
      <c r="A51" s="533"/>
      <c r="B51" s="516">
        <f>+B50+1</f>
        <v>2</v>
      </c>
      <c r="C51" s="515"/>
      <c r="D51" s="516"/>
      <c r="E51" s="515"/>
      <c r="F51" s="515"/>
      <c r="G51" s="515"/>
      <c r="H51" s="515"/>
      <c r="I51" s="514"/>
      <c r="J51" s="514"/>
      <c r="K51" s="514"/>
      <c r="L51" s="528"/>
      <c r="M51" s="528"/>
      <c r="N51" s="528"/>
      <c r="O51" s="505"/>
      <c r="P51" s="505"/>
      <c r="Q51" s="505"/>
    </row>
    <row r="52" spans="1:19" x14ac:dyDescent="0.25">
      <c r="A52" s="533"/>
      <c r="B52" s="516">
        <f>+B51+1</f>
        <v>3</v>
      </c>
      <c r="C52" s="515"/>
      <c r="D52" s="516"/>
      <c r="E52" s="515"/>
      <c r="F52" s="515"/>
      <c r="G52" s="515"/>
      <c r="H52" s="515"/>
      <c r="I52" s="514"/>
      <c r="J52" s="514"/>
      <c r="K52" s="514"/>
      <c r="L52" s="528"/>
      <c r="M52" s="528"/>
      <c r="N52" s="528"/>
      <c r="O52" s="505"/>
      <c r="P52" s="505"/>
      <c r="Q52" s="505"/>
    </row>
    <row r="53" spans="1:19" ht="13.8" thickBot="1" x14ac:dyDescent="0.3">
      <c r="A53" s="524"/>
      <c r="B53" s="516">
        <f>+B52+1</f>
        <v>4</v>
      </c>
      <c r="C53" s="515"/>
      <c r="D53" s="516"/>
      <c r="E53" s="515"/>
      <c r="F53" s="515"/>
      <c r="G53" s="515"/>
      <c r="H53" s="515"/>
      <c r="I53" s="514"/>
      <c r="J53" s="514"/>
      <c r="K53" s="514"/>
      <c r="L53" s="528"/>
      <c r="M53" s="528"/>
      <c r="N53" s="528"/>
      <c r="O53" s="505"/>
      <c r="P53" s="505"/>
      <c r="Q53" s="505"/>
    </row>
    <row r="54" spans="1:19" ht="13.8" thickTop="1" x14ac:dyDescent="0.25">
      <c r="A54" s="524"/>
      <c r="B54" s="585"/>
      <c r="C54" s="586"/>
      <c r="D54" s="587" t="s">
        <v>171</v>
      </c>
      <c r="E54" s="586"/>
      <c r="F54" s="586"/>
      <c r="G54" s="586"/>
      <c r="H54" s="586"/>
      <c r="I54" s="588"/>
      <c r="J54" s="588"/>
      <c r="K54" s="588"/>
      <c r="L54" s="589">
        <f>SUM(L50:L53)</f>
        <v>0</v>
      </c>
      <c r="M54" s="589"/>
      <c r="N54" s="589" t="e">
        <f>+N44-L54</f>
        <v>#REF!</v>
      </c>
      <c r="O54" s="592"/>
      <c r="P54" s="592"/>
      <c r="Q54" s="592"/>
    </row>
    <row r="55" spans="1:19" x14ac:dyDescent="0.25">
      <c r="A55" s="155"/>
      <c r="B55" s="155"/>
      <c r="C55" s="505"/>
      <c r="D55" s="155"/>
      <c r="E55" s="155"/>
      <c r="F55" s="155"/>
      <c r="G55" s="155"/>
      <c r="H55" s="155"/>
      <c r="I55" s="505"/>
      <c r="J55" s="505"/>
      <c r="K55" s="505"/>
      <c r="L55" s="155"/>
      <c r="M55" s="155"/>
      <c r="N55" s="155"/>
      <c r="O55" s="155"/>
      <c r="P55" s="155"/>
      <c r="Q55" s="155"/>
    </row>
    <row r="56" spans="1:19" x14ac:dyDescent="0.25">
      <c r="A56" s="612" t="s">
        <v>344</v>
      </c>
      <c r="B56" s="537" t="e">
        <f>+#REF!</f>
        <v>#REF!</v>
      </c>
      <c r="C56" s="537"/>
      <c r="D56" s="537"/>
      <c r="E56" s="537"/>
      <c r="F56" s="537"/>
      <c r="G56" s="537"/>
      <c r="H56" s="537"/>
      <c r="I56" s="522"/>
      <c r="J56" s="522"/>
      <c r="K56" s="522"/>
      <c r="L56" s="538"/>
      <c r="M56" s="538"/>
      <c r="N56" s="538" t="e">
        <f>+S57+#REF!+S74+S82+S100+S108+S120+S129</f>
        <v>#REF!</v>
      </c>
      <c r="O56" s="538"/>
      <c r="P56" s="538"/>
      <c r="Q56" s="538"/>
      <c r="S56" s="155">
        <f>+'[11]Pagu SDA'!AD227</f>
        <v>136460000</v>
      </c>
    </row>
    <row r="57" spans="1:19" x14ac:dyDescent="0.25">
      <c r="A57" s="612"/>
      <c r="B57" s="631" t="s">
        <v>37</v>
      </c>
      <c r="C57" s="548" t="e">
        <f>+#REF!</f>
        <v>#REF!</v>
      </c>
      <c r="D57" s="548"/>
      <c r="E57" s="548"/>
      <c r="F57" s="548"/>
      <c r="G57" s="548"/>
      <c r="H57" s="548"/>
      <c r="I57" s="547"/>
      <c r="J57" s="547"/>
      <c r="K57" s="547"/>
      <c r="L57" s="584"/>
      <c r="M57" s="584"/>
      <c r="N57" s="584" t="e">
        <f>+#REF!</f>
        <v>#REF!</v>
      </c>
      <c r="O57" s="538"/>
      <c r="P57" s="538"/>
      <c r="Q57" s="538"/>
      <c r="S57" s="521">
        <f>+'[11]Pagu SDA'!AD228</f>
        <v>19170000</v>
      </c>
    </row>
    <row r="58" spans="1:19" x14ac:dyDescent="0.25">
      <c r="A58" s="533"/>
      <c r="B58" s="541"/>
      <c r="C58" s="90"/>
      <c r="D58" s="155"/>
      <c r="E58" s="155"/>
      <c r="F58" s="155"/>
      <c r="G58" s="155"/>
      <c r="H58" s="155"/>
      <c r="I58" s="505"/>
      <c r="J58" s="505"/>
      <c r="K58" s="505"/>
      <c r="L58" s="155"/>
      <c r="M58" s="155"/>
      <c r="N58" s="155"/>
      <c r="O58" s="155"/>
      <c r="P58" s="155"/>
      <c r="Q58" s="155"/>
    </row>
    <row r="59" spans="1:19" ht="13.8" thickBot="1" x14ac:dyDescent="0.3">
      <c r="A59" s="533"/>
      <c r="B59" s="1132" t="s">
        <v>343</v>
      </c>
      <c r="C59" s="1133"/>
      <c r="D59" s="1132" t="s">
        <v>347</v>
      </c>
      <c r="E59" s="1134"/>
      <c r="F59" s="1134"/>
      <c r="G59" s="1134"/>
      <c r="H59" s="1134"/>
      <c r="I59" s="1135"/>
      <c r="J59" s="1140" t="s">
        <v>360</v>
      </c>
      <c r="K59" s="1139"/>
      <c r="L59" s="578" t="s">
        <v>342</v>
      </c>
      <c r="M59" s="578" t="s">
        <v>341</v>
      </c>
      <c r="N59" s="578" t="s">
        <v>312</v>
      </c>
      <c r="O59" s="591"/>
      <c r="P59" s="591"/>
      <c r="Q59" s="591"/>
    </row>
    <row r="60" spans="1:19" ht="13.8" thickTop="1" x14ac:dyDescent="0.25">
      <c r="A60" s="533"/>
      <c r="B60" s="519">
        <v>1</v>
      </c>
      <c r="C60" s="518"/>
      <c r="D60" s="531"/>
      <c r="E60" s="518"/>
      <c r="F60" s="518"/>
      <c r="G60" s="518"/>
      <c r="H60" s="518"/>
      <c r="I60" s="517"/>
      <c r="J60" s="594"/>
      <c r="K60" s="594"/>
      <c r="L60" s="558"/>
      <c r="M60" s="530"/>
      <c r="N60" s="530"/>
      <c r="O60" s="505"/>
      <c r="P60" s="505"/>
      <c r="Q60" s="505"/>
    </row>
    <row r="61" spans="1:19" x14ac:dyDescent="0.25">
      <c r="A61" s="533"/>
      <c r="B61" s="516">
        <f>+B60+1</f>
        <v>2</v>
      </c>
      <c r="C61" s="515"/>
      <c r="D61" s="529"/>
      <c r="E61" s="515"/>
      <c r="F61" s="515"/>
      <c r="G61" s="515"/>
      <c r="H61" s="515"/>
      <c r="I61" s="514"/>
      <c r="J61" s="610"/>
      <c r="K61" s="595"/>
      <c r="L61" s="563"/>
      <c r="M61" s="528"/>
      <c r="N61" s="528"/>
      <c r="O61" s="505"/>
      <c r="P61" s="505"/>
      <c r="Q61" s="505"/>
    </row>
    <row r="62" spans="1:19" x14ac:dyDescent="0.25">
      <c r="A62" s="533"/>
      <c r="B62" s="516">
        <f>+B61+1</f>
        <v>3</v>
      </c>
      <c r="C62" s="515"/>
      <c r="D62" s="516"/>
      <c r="E62" s="515"/>
      <c r="F62" s="515"/>
      <c r="G62" s="515"/>
      <c r="H62" s="515"/>
      <c r="I62" s="514"/>
      <c r="J62" s="514"/>
      <c r="K62" s="514"/>
      <c r="L62" s="528"/>
      <c r="M62" s="528"/>
      <c r="N62" s="528"/>
      <c r="O62" s="505"/>
      <c r="P62" s="505"/>
      <c r="Q62" s="505"/>
    </row>
    <row r="63" spans="1:19" ht="13.8" thickBot="1" x14ac:dyDescent="0.3">
      <c r="A63" s="524"/>
      <c r="B63" s="516">
        <f>+B62+1</f>
        <v>4</v>
      </c>
      <c r="C63" s="515"/>
      <c r="D63" s="516"/>
      <c r="E63" s="515"/>
      <c r="F63" s="515"/>
      <c r="G63" s="515"/>
      <c r="H63" s="515"/>
      <c r="I63" s="514"/>
      <c r="J63" s="514"/>
      <c r="K63" s="514"/>
      <c r="L63" s="528"/>
      <c r="M63" s="528"/>
      <c r="N63" s="528"/>
      <c r="O63" s="505"/>
      <c r="P63" s="505"/>
      <c r="Q63" s="505"/>
    </row>
    <row r="64" spans="1:19" ht="13.8" thickTop="1" x14ac:dyDescent="0.25">
      <c r="A64" s="524"/>
      <c r="B64" s="585"/>
      <c r="C64" s="586"/>
      <c r="D64" s="587" t="s">
        <v>171</v>
      </c>
      <c r="E64" s="586"/>
      <c r="F64" s="586"/>
      <c r="G64" s="586"/>
      <c r="H64" s="586"/>
      <c r="I64" s="588"/>
      <c r="J64" s="588"/>
      <c r="K64" s="588"/>
      <c r="L64" s="589">
        <f>SUM(L60:L63)</f>
        <v>0</v>
      </c>
      <c r="M64" s="589"/>
      <c r="N64" s="589" t="e">
        <f>+N57-L64</f>
        <v>#REF!</v>
      </c>
      <c r="O64" s="592"/>
      <c r="P64" s="592"/>
      <c r="Q64" s="592"/>
    </row>
    <row r="65" spans="1:19" x14ac:dyDescent="0.25">
      <c r="A65" s="155"/>
      <c r="B65" s="155"/>
      <c r="C65" s="505"/>
      <c r="D65" s="155"/>
      <c r="E65" s="155"/>
      <c r="F65" s="155"/>
      <c r="G65" s="155"/>
      <c r="H65" s="155"/>
      <c r="I65" s="505"/>
      <c r="J65" s="505"/>
      <c r="K65" s="505"/>
      <c r="L65" s="155"/>
      <c r="M65" s="155"/>
      <c r="N65" s="155"/>
      <c r="O65" s="155"/>
      <c r="P65" s="155"/>
      <c r="Q65" s="155"/>
    </row>
    <row r="66" spans="1:19" x14ac:dyDescent="0.25">
      <c r="A66" s="533"/>
      <c r="B66" s="631" t="s">
        <v>37</v>
      </c>
      <c r="C66" s="548" t="e">
        <f>+#REF!</f>
        <v>#REF!</v>
      </c>
      <c r="D66" s="548"/>
      <c r="E66" s="548"/>
      <c r="F66" s="548"/>
      <c r="G66" s="548"/>
      <c r="H66" s="548"/>
      <c r="I66" s="547"/>
      <c r="J66" s="547"/>
      <c r="K66" s="547"/>
      <c r="L66" s="584"/>
      <c r="M66" s="584"/>
      <c r="N66" s="584" t="e">
        <f>+#REF!</f>
        <v>#REF!</v>
      </c>
      <c r="O66" s="539"/>
      <c r="P66" s="539"/>
      <c r="Q66" s="539"/>
      <c r="R66" s="535"/>
    </row>
    <row r="67" spans="1:19" x14ac:dyDescent="0.25">
      <c r="A67" s="533"/>
      <c r="B67" s="155"/>
      <c r="C67" s="541"/>
      <c r="D67" s="90"/>
      <c r="E67" s="155"/>
      <c r="F67" s="155"/>
      <c r="G67" s="155"/>
      <c r="H67" s="155"/>
      <c r="I67" s="155"/>
      <c r="J67" s="155"/>
      <c r="K67" s="155"/>
      <c r="L67" s="505"/>
      <c r="M67" s="155"/>
      <c r="N67" s="155"/>
      <c r="O67" s="155"/>
      <c r="P67" s="155"/>
      <c r="Q67" s="155"/>
      <c r="R67" s="525"/>
    </row>
    <row r="68" spans="1:19" ht="13.8" thickBot="1" x14ac:dyDescent="0.3">
      <c r="A68" s="533"/>
      <c r="B68" s="1132" t="s">
        <v>343</v>
      </c>
      <c r="C68" s="1133"/>
      <c r="D68" s="1132" t="s">
        <v>347</v>
      </c>
      <c r="E68" s="1134"/>
      <c r="F68" s="1134"/>
      <c r="G68" s="1134"/>
      <c r="H68" s="1134"/>
      <c r="I68" s="1135"/>
      <c r="J68" s="1140" t="s">
        <v>360</v>
      </c>
      <c r="K68" s="1139"/>
      <c r="L68" s="632" t="s">
        <v>342</v>
      </c>
      <c r="M68" s="578" t="s">
        <v>341</v>
      </c>
      <c r="N68" s="578" t="s">
        <v>312</v>
      </c>
      <c r="O68" s="591"/>
      <c r="P68" s="591"/>
      <c r="Q68" s="591"/>
    </row>
    <row r="69" spans="1:19" ht="13.8" thickTop="1" x14ac:dyDescent="0.25">
      <c r="A69" s="533"/>
      <c r="B69" s="519"/>
      <c r="C69" s="518"/>
      <c r="D69" s="529"/>
      <c r="E69" s="515"/>
      <c r="F69" s="515"/>
      <c r="G69" s="515"/>
      <c r="H69" s="515"/>
      <c r="I69" s="514"/>
      <c r="J69" s="610"/>
      <c r="K69" s="595"/>
      <c r="L69" s="565"/>
      <c r="M69" s="530"/>
      <c r="N69" s="530"/>
      <c r="O69" s="505"/>
      <c r="P69" s="505"/>
      <c r="Q69" s="505"/>
    </row>
    <row r="70" spans="1:19" x14ac:dyDescent="0.25">
      <c r="A70" s="533"/>
      <c r="B70" s="516"/>
      <c r="C70" s="515"/>
      <c r="D70" s="529"/>
      <c r="E70" s="515"/>
      <c r="F70" s="515"/>
      <c r="G70" s="515"/>
      <c r="H70" s="515"/>
      <c r="I70" s="514"/>
      <c r="J70" s="610"/>
      <c r="K70" s="595"/>
      <c r="L70" s="563"/>
      <c r="M70" s="528"/>
      <c r="N70" s="528"/>
      <c r="O70" s="505"/>
      <c r="P70" s="505"/>
      <c r="Q70" s="505"/>
    </row>
    <row r="71" spans="1:19" ht="13.8" thickBot="1" x14ac:dyDescent="0.3">
      <c r="A71" s="533"/>
      <c r="B71" s="516"/>
      <c r="C71" s="515"/>
      <c r="D71" s="516"/>
      <c r="E71" s="515"/>
      <c r="F71" s="515"/>
      <c r="G71" s="515"/>
      <c r="H71" s="515"/>
      <c r="I71" s="514"/>
      <c r="J71" s="514"/>
      <c r="K71" s="514"/>
      <c r="L71" s="528"/>
      <c r="M71" s="528"/>
      <c r="N71" s="528"/>
      <c r="O71" s="505"/>
      <c r="P71" s="505"/>
      <c r="Q71" s="505"/>
    </row>
    <row r="72" spans="1:19" ht="13.8" thickTop="1" x14ac:dyDescent="0.25">
      <c r="A72" s="524"/>
      <c r="B72" s="585"/>
      <c r="C72" s="586"/>
      <c r="D72" s="587" t="s">
        <v>171</v>
      </c>
      <c r="E72" s="586"/>
      <c r="F72" s="586"/>
      <c r="G72" s="586"/>
      <c r="H72" s="586"/>
      <c r="I72" s="588"/>
      <c r="J72" s="588"/>
      <c r="K72" s="588"/>
      <c r="L72" s="589">
        <f>SUM(L69:L71)</f>
        <v>0</v>
      </c>
      <c r="M72" s="589"/>
      <c r="N72" s="589"/>
      <c r="O72" s="592"/>
      <c r="P72" s="592"/>
      <c r="Q72" s="592"/>
    </row>
    <row r="73" spans="1:19" x14ac:dyDescent="0.25">
      <c r="A73" s="524"/>
      <c r="B73" s="527"/>
      <c r="C73" s="505"/>
      <c r="D73" s="505"/>
      <c r="E73" s="505"/>
      <c r="F73" s="505"/>
      <c r="G73" s="505"/>
      <c r="H73" s="505"/>
      <c r="I73" s="505"/>
      <c r="J73" s="505"/>
      <c r="K73" s="505"/>
      <c r="L73" s="505"/>
      <c r="M73" s="505"/>
      <c r="N73" s="580">
        <f>SUM(N75:N75)</f>
        <v>0</v>
      </c>
      <c r="O73" s="580"/>
      <c r="P73" s="580"/>
      <c r="Q73" s="580"/>
    </row>
    <row r="74" spans="1:19" x14ac:dyDescent="0.25">
      <c r="A74" s="524"/>
      <c r="B74" s="631" t="s">
        <v>37</v>
      </c>
      <c r="C74" s="548" t="e">
        <f>+#REF!</f>
        <v>#REF!</v>
      </c>
      <c r="D74" s="548"/>
      <c r="E74" s="548"/>
      <c r="F74" s="548"/>
      <c r="G74" s="548"/>
      <c r="H74" s="548"/>
      <c r="I74" s="547"/>
      <c r="J74" s="547"/>
      <c r="K74" s="547"/>
      <c r="L74" s="584"/>
      <c r="M74" s="584"/>
      <c r="N74" s="584" t="e">
        <f>+#REF!</f>
        <v>#REF!</v>
      </c>
      <c r="O74" s="538"/>
      <c r="P74" s="538"/>
      <c r="Q74" s="538"/>
      <c r="S74" s="521">
        <f>+'[11]Pagu SDA'!AD230</f>
        <v>20170000</v>
      </c>
    </row>
    <row r="75" spans="1:19" x14ac:dyDescent="0.25">
      <c r="A75" s="524"/>
      <c r="B75" s="155"/>
      <c r="C75" s="541"/>
      <c r="D75" s="90"/>
      <c r="E75" s="155"/>
      <c r="F75" s="155"/>
      <c r="G75" s="155"/>
      <c r="H75" s="155"/>
      <c r="I75" s="155"/>
      <c r="J75" s="155"/>
      <c r="K75" s="155"/>
      <c r="L75" s="505"/>
      <c r="M75" s="155"/>
      <c r="N75" s="155"/>
      <c r="O75" s="155"/>
      <c r="P75" s="155"/>
      <c r="Q75" s="155"/>
    </row>
    <row r="76" spans="1:19" ht="13.8" thickBot="1" x14ac:dyDescent="0.3">
      <c r="A76" s="524"/>
      <c r="B76" s="1132" t="s">
        <v>343</v>
      </c>
      <c r="C76" s="1133"/>
      <c r="D76" s="1132" t="s">
        <v>347</v>
      </c>
      <c r="E76" s="1134"/>
      <c r="F76" s="1134"/>
      <c r="G76" s="1134"/>
      <c r="H76" s="1134"/>
      <c r="I76" s="1135"/>
      <c r="J76" s="1140" t="s">
        <v>360</v>
      </c>
      <c r="K76" s="1139"/>
      <c r="L76" s="578" t="s">
        <v>342</v>
      </c>
      <c r="M76" s="578" t="s">
        <v>341</v>
      </c>
      <c r="N76" s="578" t="s">
        <v>312</v>
      </c>
      <c r="O76" s="591"/>
      <c r="P76" s="591"/>
      <c r="Q76" s="591"/>
    </row>
    <row r="77" spans="1:19" ht="13.8" thickTop="1" x14ac:dyDescent="0.25">
      <c r="A77" s="524"/>
      <c r="B77" s="519">
        <v>1</v>
      </c>
      <c r="C77" s="518"/>
      <c r="D77" s="519"/>
      <c r="E77" s="518"/>
      <c r="F77" s="518"/>
      <c r="G77" s="518"/>
      <c r="H77" s="518"/>
      <c r="I77" s="517"/>
      <c r="J77" s="517"/>
      <c r="K77" s="517"/>
      <c r="L77" s="530"/>
      <c r="M77" s="530"/>
      <c r="N77" s="530"/>
      <c r="O77" s="505"/>
      <c r="P77" s="505"/>
      <c r="Q77" s="505"/>
    </row>
    <row r="78" spans="1:19" x14ac:dyDescent="0.25">
      <c r="A78" s="524"/>
      <c r="B78" s="516">
        <f>+B77+1</f>
        <v>2</v>
      </c>
      <c r="C78" s="515"/>
      <c r="D78" s="516"/>
      <c r="E78" s="515"/>
      <c r="F78" s="515"/>
      <c r="G78" s="515"/>
      <c r="H78" s="515"/>
      <c r="I78" s="514"/>
      <c r="J78" s="514"/>
      <c r="K78" s="514"/>
      <c r="L78" s="528"/>
      <c r="M78" s="528"/>
      <c r="N78" s="528"/>
      <c r="O78" s="505"/>
      <c r="P78" s="505"/>
      <c r="Q78" s="505"/>
    </row>
    <row r="79" spans="1:19" ht="13.8" thickBot="1" x14ac:dyDescent="0.3">
      <c r="A79" s="524"/>
      <c r="B79" s="516">
        <f>+B78+1</f>
        <v>3</v>
      </c>
      <c r="C79" s="515"/>
      <c r="D79" s="516"/>
      <c r="E79" s="515"/>
      <c r="F79" s="515"/>
      <c r="G79" s="515"/>
      <c r="H79" s="515"/>
      <c r="I79" s="514"/>
      <c r="J79" s="514"/>
      <c r="K79" s="514"/>
      <c r="L79" s="528"/>
      <c r="M79" s="528"/>
      <c r="N79" s="528"/>
      <c r="O79" s="505"/>
      <c r="P79" s="505"/>
      <c r="Q79" s="505"/>
    </row>
    <row r="80" spans="1:19" ht="13.8" thickTop="1" x14ac:dyDescent="0.25">
      <c r="A80" s="524"/>
      <c r="B80" s="585"/>
      <c r="C80" s="586"/>
      <c r="D80" s="587" t="s">
        <v>171</v>
      </c>
      <c r="E80" s="586"/>
      <c r="F80" s="586"/>
      <c r="G80" s="586"/>
      <c r="H80" s="586"/>
      <c r="I80" s="588"/>
      <c r="J80" s="588"/>
      <c r="K80" s="588"/>
      <c r="L80" s="589">
        <f>SUM(L77:L79)</f>
        <v>0</v>
      </c>
      <c r="M80" s="589"/>
      <c r="N80" s="589" t="e">
        <f>+N74-L80</f>
        <v>#REF!</v>
      </c>
      <c r="O80" s="592"/>
      <c r="P80" s="592"/>
      <c r="Q80" s="592"/>
    </row>
    <row r="81" spans="1:19" x14ac:dyDescent="0.25">
      <c r="A81" s="524"/>
      <c r="B81" s="527"/>
      <c r="C81" s="505"/>
      <c r="D81" s="505"/>
      <c r="E81" s="505"/>
      <c r="F81" s="505"/>
      <c r="G81" s="505"/>
      <c r="H81" s="505"/>
      <c r="I81" s="505"/>
      <c r="J81" s="505"/>
      <c r="K81" s="505"/>
      <c r="L81" s="505"/>
      <c r="M81" s="505"/>
      <c r="N81" s="505"/>
      <c r="O81" s="505"/>
      <c r="P81" s="505"/>
      <c r="Q81" s="505"/>
    </row>
    <row r="82" spans="1:19" x14ac:dyDescent="0.25">
      <c r="A82" s="524"/>
      <c r="B82" s="631" t="s">
        <v>37</v>
      </c>
      <c r="C82" s="548" t="e">
        <f>+#REF!</f>
        <v>#REF!</v>
      </c>
      <c r="D82" s="548"/>
      <c r="E82" s="548"/>
      <c r="F82" s="548"/>
      <c r="G82" s="548"/>
      <c r="H82" s="548"/>
      <c r="I82" s="547"/>
      <c r="J82" s="547"/>
      <c r="K82" s="547"/>
      <c r="L82" s="584"/>
      <c r="M82" s="584"/>
      <c r="N82" s="584" t="e">
        <f>+#REF!</f>
        <v>#REF!</v>
      </c>
      <c r="O82" s="538"/>
      <c r="P82" s="538"/>
      <c r="Q82" s="538"/>
      <c r="S82" s="521">
        <f>+'[11]Pagu SDA'!AD231</f>
        <v>19170000</v>
      </c>
    </row>
    <row r="83" spans="1:19" x14ac:dyDescent="0.25">
      <c r="A83" s="524"/>
      <c r="B83" s="155"/>
      <c r="C83" s="633" t="e">
        <f>+#REF!</f>
        <v>#REF!</v>
      </c>
      <c r="D83" s="90"/>
      <c r="E83" s="155"/>
      <c r="F83" s="155"/>
      <c r="G83" s="155"/>
      <c r="H83" s="155"/>
      <c r="I83" s="155"/>
      <c r="J83" s="155"/>
      <c r="K83" s="155"/>
      <c r="L83" s="505"/>
      <c r="M83" s="155"/>
      <c r="N83" s="584" t="e">
        <f>+#REF!</f>
        <v>#REF!</v>
      </c>
      <c r="O83" s="539"/>
      <c r="P83" s="539"/>
      <c r="Q83" s="539"/>
    </row>
    <row r="84" spans="1:19" x14ac:dyDescent="0.25">
      <c r="A84" s="524"/>
      <c r="B84" s="155"/>
      <c r="C84" s="633" t="e">
        <f>+#REF!</f>
        <v>#REF!</v>
      </c>
      <c r="D84" s="90"/>
      <c r="E84" s="155"/>
      <c r="F84" s="155"/>
      <c r="G84" s="155"/>
      <c r="H84" s="155"/>
      <c r="I84" s="155"/>
      <c r="J84" s="155"/>
      <c r="K84" s="155"/>
      <c r="L84" s="505"/>
      <c r="M84" s="155"/>
      <c r="N84" s="584" t="e">
        <f>+#REF!</f>
        <v>#REF!</v>
      </c>
      <c r="O84" s="539"/>
      <c r="P84" s="539"/>
      <c r="Q84" s="539"/>
    </row>
    <row r="85" spans="1:19" x14ac:dyDescent="0.25">
      <c r="A85" s="524"/>
      <c r="B85" s="155"/>
      <c r="C85" s="633" t="e">
        <f>+#REF!</f>
        <v>#REF!</v>
      </c>
      <c r="D85" s="90"/>
      <c r="E85" s="155"/>
      <c r="F85" s="155"/>
      <c r="G85" s="155"/>
      <c r="H85" s="155"/>
      <c r="I85" s="155"/>
      <c r="J85" s="155"/>
      <c r="K85" s="155"/>
      <c r="L85" s="505"/>
      <c r="M85" s="155"/>
      <c r="N85" s="584" t="e">
        <f>+#REF!</f>
        <v>#REF!</v>
      </c>
      <c r="O85" s="539"/>
      <c r="P85" s="539"/>
      <c r="Q85" s="539"/>
    </row>
    <row r="86" spans="1:19" x14ac:dyDescent="0.25">
      <c r="A86" s="524"/>
      <c r="B86" s="155"/>
      <c r="C86" s="633" t="e">
        <f>+#REF!</f>
        <v>#REF!</v>
      </c>
      <c r="D86" s="90"/>
      <c r="E86" s="155"/>
      <c r="F86" s="155"/>
      <c r="G86" s="155"/>
      <c r="H86" s="155"/>
      <c r="I86" s="155"/>
      <c r="J86" s="155"/>
      <c r="K86" s="155"/>
      <c r="L86" s="505"/>
      <c r="M86" s="155"/>
      <c r="N86" s="584" t="e">
        <f>+#REF!</f>
        <v>#REF!</v>
      </c>
      <c r="O86" s="539"/>
      <c r="P86" s="539"/>
      <c r="Q86" s="539"/>
    </row>
    <row r="87" spans="1:19" x14ac:dyDescent="0.25">
      <c r="A87" s="524"/>
      <c r="B87" s="155"/>
      <c r="C87" s="633" t="e">
        <f>+#REF!</f>
        <v>#REF!</v>
      </c>
      <c r="D87" s="90"/>
      <c r="E87" s="155"/>
      <c r="F87" s="155"/>
      <c r="G87" s="155"/>
      <c r="H87" s="155"/>
      <c r="I87" s="155"/>
      <c r="J87" s="155"/>
      <c r="K87" s="155"/>
      <c r="L87" s="505"/>
      <c r="M87" s="155"/>
      <c r="N87" s="584" t="e">
        <f>+#REF!</f>
        <v>#REF!</v>
      </c>
      <c r="O87" s="539"/>
      <c r="P87" s="539"/>
      <c r="Q87" s="539"/>
    </row>
    <row r="88" spans="1:19" x14ac:dyDescent="0.25">
      <c r="A88" s="524"/>
      <c r="B88" s="155"/>
      <c r="C88" s="633" t="e">
        <f>+#REF!</f>
        <v>#REF!</v>
      </c>
      <c r="D88" s="90"/>
      <c r="E88" s="155"/>
      <c r="F88" s="155"/>
      <c r="G88" s="155"/>
      <c r="H88" s="155"/>
      <c r="I88" s="155"/>
      <c r="J88" s="155"/>
      <c r="K88" s="155"/>
      <c r="L88" s="505"/>
      <c r="M88" s="155"/>
      <c r="N88" s="584" t="e">
        <f>+#REF!</f>
        <v>#REF!</v>
      </c>
      <c r="O88" s="539"/>
      <c r="P88" s="539"/>
      <c r="Q88" s="539"/>
    </row>
    <row r="89" spans="1:19" x14ac:dyDescent="0.25">
      <c r="A89" s="524"/>
      <c r="B89" s="155"/>
      <c r="C89" s="633" t="e">
        <f>+#REF!</f>
        <v>#REF!</v>
      </c>
      <c r="D89" s="90"/>
      <c r="E89" s="155"/>
      <c r="F89" s="155"/>
      <c r="G89" s="155"/>
      <c r="H89" s="155"/>
      <c r="I89" s="155"/>
      <c r="J89" s="155"/>
      <c r="K89" s="155"/>
      <c r="L89" s="505"/>
      <c r="M89" s="155"/>
      <c r="N89" s="584" t="e">
        <f>+#REF!</f>
        <v>#REF!</v>
      </c>
      <c r="O89" s="539"/>
      <c r="P89" s="539"/>
      <c r="Q89" s="539"/>
    </row>
    <row r="90" spans="1:19" x14ac:dyDescent="0.25">
      <c r="A90" s="524"/>
      <c r="B90" s="155"/>
      <c r="C90" s="633" t="e">
        <f>+#REF!</f>
        <v>#REF!</v>
      </c>
      <c r="D90" s="90"/>
      <c r="E90" s="155"/>
      <c r="F90" s="155"/>
      <c r="G90" s="155"/>
      <c r="H90" s="155"/>
      <c r="I90" s="155"/>
      <c r="J90" s="155"/>
      <c r="K90" s="155"/>
      <c r="L90" s="505"/>
      <c r="M90" s="155"/>
      <c r="N90" s="584" t="e">
        <f>+#REF!</f>
        <v>#REF!</v>
      </c>
      <c r="O90" s="539"/>
      <c r="P90" s="539"/>
      <c r="Q90" s="539"/>
    </row>
    <row r="91" spans="1:19" x14ac:dyDescent="0.25">
      <c r="A91" s="524"/>
      <c r="B91" s="155"/>
      <c r="C91" s="633" t="e">
        <f>+#REF!</f>
        <v>#REF!</v>
      </c>
      <c r="D91" s="90"/>
      <c r="E91" s="155"/>
      <c r="F91" s="155"/>
      <c r="G91" s="155"/>
      <c r="H91" s="155"/>
      <c r="I91" s="155"/>
      <c r="J91" s="155"/>
      <c r="K91" s="155"/>
      <c r="L91" s="505"/>
      <c r="M91" s="155"/>
      <c r="N91" s="584" t="e">
        <f>+#REF!</f>
        <v>#REF!</v>
      </c>
      <c r="O91" s="539"/>
      <c r="P91" s="539"/>
      <c r="Q91" s="539"/>
    </row>
    <row r="92" spans="1:19" x14ac:dyDescent="0.25">
      <c r="A92" s="524"/>
      <c r="B92" s="155"/>
      <c r="C92" s="633" t="e">
        <f>+#REF!</f>
        <v>#REF!</v>
      </c>
      <c r="D92" s="90"/>
      <c r="E92" s="155"/>
      <c r="F92" s="155"/>
      <c r="G92" s="155"/>
      <c r="H92" s="155"/>
      <c r="I92" s="155"/>
      <c r="J92" s="155"/>
      <c r="K92" s="155"/>
      <c r="L92" s="505"/>
      <c r="M92" s="155"/>
      <c r="N92" s="584" t="e">
        <f>+#REF!</f>
        <v>#REF!</v>
      </c>
      <c r="O92" s="539"/>
      <c r="P92" s="539"/>
      <c r="Q92" s="539"/>
    </row>
    <row r="93" spans="1:19" x14ac:dyDescent="0.25">
      <c r="A93" s="524"/>
      <c r="B93" s="155"/>
      <c r="C93" s="541"/>
      <c r="D93" s="90"/>
      <c r="E93" s="155"/>
      <c r="F93" s="155"/>
      <c r="G93" s="155"/>
      <c r="H93" s="155"/>
      <c r="I93" s="155"/>
      <c r="J93" s="155"/>
      <c r="K93" s="155"/>
      <c r="L93" s="505"/>
      <c r="M93" s="155"/>
      <c r="N93" s="155"/>
      <c r="O93" s="539"/>
      <c r="P93" s="539"/>
      <c r="Q93" s="539"/>
    </row>
    <row r="94" spans="1:19" ht="13.8" thickBot="1" x14ac:dyDescent="0.3">
      <c r="A94" s="524"/>
      <c r="B94" s="1132" t="s">
        <v>343</v>
      </c>
      <c r="C94" s="1133"/>
      <c r="D94" s="1132" t="s">
        <v>347</v>
      </c>
      <c r="E94" s="1134"/>
      <c r="F94" s="1134"/>
      <c r="G94" s="1134"/>
      <c r="H94" s="1134"/>
      <c r="I94" s="1135"/>
      <c r="J94" s="1140" t="s">
        <v>360</v>
      </c>
      <c r="K94" s="1139"/>
      <c r="L94" s="578" t="s">
        <v>342</v>
      </c>
      <c r="M94" s="578" t="s">
        <v>341</v>
      </c>
      <c r="N94" s="578" t="s">
        <v>312</v>
      </c>
      <c r="O94" s="591"/>
      <c r="P94" s="591"/>
      <c r="Q94" s="591"/>
    </row>
    <row r="95" spans="1:19" ht="13.8" thickTop="1" x14ac:dyDescent="0.25">
      <c r="A95" s="524"/>
      <c r="B95" s="519">
        <v>1</v>
      </c>
      <c r="C95" s="518"/>
      <c r="D95" s="519"/>
      <c r="E95" s="518"/>
      <c r="F95" s="518"/>
      <c r="G95" s="518"/>
      <c r="H95" s="518"/>
      <c r="I95" s="517"/>
      <c r="J95" s="517"/>
      <c r="K95" s="517"/>
      <c r="L95" s="530"/>
      <c r="M95" s="530"/>
      <c r="N95" s="530"/>
      <c r="O95" s="505"/>
      <c r="P95" s="505"/>
      <c r="Q95" s="505"/>
    </row>
    <row r="96" spans="1:19" x14ac:dyDescent="0.25">
      <c r="A96" s="524"/>
      <c r="B96" s="516">
        <f>+B95+1</f>
        <v>2</v>
      </c>
      <c r="C96" s="515"/>
      <c r="D96" s="516"/>
      <c r="E96" s="515"/>
      <c r="F96" s="515"/>
      <c r="G96" s="515"/>
      <c r="H96" s="515"/>
      <c r="I96" s="514"/>
      <c r="J96" s="514"/>
      <c r="K96" s="514"/>
      <c r="L96" s="528"/>
      <c r="M96" s="528"/>
      <c r="N96" s="528"/>
      <c r="O96" s="505"/>
      <c r="P96" s="505"/>
      <c r="Q96" s="505"/>
    </row>
    <row r="97" spans="1:19" ht="13.8" thickBot="1" x14ac:dyDescent="0.3">
      <c r="A97" s="524"/>
      <c r="B97" s="523">
        <f>+B96+1</f>
        <v>3</v>
      </c>
      <c r="C97" s="515"/>
      <c r="D97" s="516"/>
      <c r="E97" s="515"/>
      <c r="F97" s="515"/>
      <c r="G97" s="515"/>
      <c r="H97" s="515"/>
      <c r="I97" s="514"/>
      <c r="J97" s="514"/>
      <c r="K97" s="514"/>
      <c r="L97" s="528"/>
      <c r="M97" s="528"/>
      <c r="N97" s="528"/>
      <c r="O97" s="505"/>
      <c r="P97" s="505"/>
      <c r="Q97" s="505"/>
    </row>
    <row r="98" spans="1:19" ht="13.8" thickTop="1" x14ac:dyDescent="0.25">
      <c r="A98" s="524"/>
      <c r="B98" s="585"/>
      <c r="C98" s="586"/>
      <c r="D98" s="587" t="s">
        <v>171</v>
      </c>
      <c r="E98" s="586"/>
      <c r="F98" s="586"/>
      <c r="G98" s="586"/>
      <c r="H98" s="586"/>
      <c r="I98" s="588"/>
      <c r="J98" s="588"/>
      <c r="K98" s="588"/>
      <c r="L98" s="589">
        <f>SUM(L95:L97)</f>
        <v>0</v>
      </c>
      <c r="M98" s="589"/>
      <c r="N98" s="589"/>
      <c r="O98" s="592"/>
      <c r="P98" s="592"/>
      <c r="Q98" s="592"/>
    </row>
    <row r="99" spans="1:19" x14ac:dyDescent="0.25">
      <c r="A99" s="524"/>
      <c r="B99" s="631"/>
      <c r="C99" s="548"/>
      <c r="D99" s="548"/>
      <c r="E99" s="548"/>
      <c r="F99" s="548"/>
      <c r="G99" s="548"/>
      <c r="H99" s="548"/>
      <c r="I99" s="547"/>
      <c r="J99" s="547"/>
      <c r="K99" s="547"/>
      <c r="L99" s="584"/>
      <c r="M99" s="584"/>
      <c r="N99" s="584"/>
      <c r="O99" s="505"/>
      <c r="P99" s="505"/>
      <c r="Q99" s="505"/>
    </row>
    <row r="100" spans="1:19" x14ac:dyDescent="0.25">
      <c r="A100" s="524"/>
      <c r="B100" s="631" t="s">
        <v>37</v>
      </c>
      <c r="C100" s="548" t="e">
        <f>+#REF!</f>
        <v>#REF!</v>
      </c>
      <c r="D100" s="548"/>
      <c r="E100" s="548"/>
      <c r="F100" s="548"/>
      <c r="G100" s="548"/>
      <c r="H100" s="548"/>
      <c r="I100" s="547"/>
      <c r="J100" s="547"/>
      <c r="K100" s="547"/>
      <c r="L100" s="584"/>
      <c r="M100" s="584"/>
      <c r="N100" s="584" t="e">
        <f>+#REF!</f>
        <v>#REF!</v>
      </c>
      <c r="O100" s="538"/>
      <c r="P100" s="538"/>
      <c r="Q100" s="538"/>
      <c r="S100" s="521">
        <f>+'[11]Pagu SDA'!AD232</f>
        <v>4170000</v>
      </c>
    </row>
    <row r="101" spans="1:19" x14ac:dyDescent="0.25">
      <c r="A101" s="524"/>
      <c r="B101" s="155"/>
      <c r="C101" s="541"/>
      <c r="D101" s="90"/>
      <c r="E101" s="90"/>
      <c r="F101" s="90"/>
      <c r="G101" s="90"/>
      <c r="H101" s="90"/>
      <c r="I101" s="90"/>
      <c r="J101" s="90"/>
      <c r="K101" s="90"/>
      <c r="L101" s="524"/>
      <c r="M101" s="539"/>
      <c r="N101" s="539"/>
      <c r="O101" s="539"/>
      <c r="P101" s="539"/>
      <c r="Q101" s="539"/>
    </row>
    <row r="102" spans="1:19" ht="13.8" thickBot="1" x14ac:dyDescent="0.3">
      <c r="A102" s="524"/>
      <c r="B102" s="1132" t="s">
        <v>343</v>
      </c>
      <c r="C102" s="1133"/>
      <c r="D102" s="1132" t="s">
        <v>347</v>
      </c>
      <c r="E102" s="1134"/>
      <c r="F102" s="1134"/>
      <c r="G102" s="1134"/>
      <c r="H102" s="1134"/>
      <c r="I102" s="1135"/>
      <c r="J102" s="1140" t="s">
        <v>360</v>
      </c>
      <c r="K102" s="1139"/>
      <c r="L102" s="578" t="s">
        <v>342</v>
      </c>
      <c r="M102" s="578" t="s">
        <v>341</v>
      </c>
      <c r="N102" s="578" t="s">
        <v>312</v>
      </c>
      <c r="O102" s="591"/>
      <c r="P102" s="591"/>
      <c r="Q102" s="591"/>
    </row>
    <row r="103" spans="1:19" ht="13.8" thickTop="1" x14ac:dyDescent="0.25">
      <c r="A103" s="524"/>
      <c r="B103" s="519">
        <v>1</v>
      </c>
      <c r="C103" s="518"/>
      <c r="D103" s="519"/>
      <c r="E103" s="518"/>
      <c r="F103" s="518"/>
      <c r="G103" s="518"/>
      <c r="H103" s="518"/>
      <c r="I103" s="517"/>
      <c r="J103" s="517"/>
      <c r="K103" s="517"/>
      <c r="L103" s="530"/>
      <c r="M103" s="530"/>
      <c r="N103" s="530"/>
      <c r="O103" s="505"/>
      <c r="P103" s="505"/>
      <c r="Q103" s="505"/>
    </row>
    <row r="104" spans="1:19" x14ac:dyDescent="0.25">
      <c r="A104" s="524"/>
      <c r="B104" s="523">
        <f>+B103+1</f>
        <v>2</v>
      </c>
      <c r="C104" s="515"/>
      <c r="D104" s="516"/>
      <c r="E104" s="515"/>
      <c r="F104" s="515"/>
      <c r="G104" s="515"/>
      <c r="H104" s="515"/>
      <c r="I104" s="514"/>
      <c r="J104" s="514"/>
      <c r="K104" s="514"/>
      <c r="L104" s="528"/>
      <c r="M104" s="528"/>
      <c r="N104" s="528"/>
      <c r="O104" s="505"/>
      <c r="P104" s="505"/>
      <c r="Q104" s="505"/>
    </row>
    <row r="105" spans="1:19" ht="13.8" thickBot="1" x14ac:dyDescent="0.3">
      <c r="A105" s="524"/>
      <c r="B105" s="523">
        <f>+B104+1</f>
        <v>3</v>
      </c>
      <c r="C105" s="515"/>
      <c r="D105" s="516"/>
      <c r="E105" s="515"/>
      <c r="F105" s="515"/>
      <c r="G105" s="515"/>
      <c r="H105" s="515"/>
      <c r="I105" s="514"/>
      <c r="J105" s="514"/>
      <c r="K105" s="514"/>
      <c r="L105" s="528"/>
      <c r="M105" s="528"/>
      <c r="N105" s="528"/>
      <c r="O105" s="505"/>
      <c r="P105" s="505"/>
      <c r="Q105" s="505"/>
    </row>
    <row r="106" spans="1:19" ht="13.8" thickTop="1" x14ac:dyDescent="0.25">
      <c r="A106" s="524"/>
      <c r="B106" s="585"/>
      <c r="C106" s="586"/>
      <c r="D106" s="587" t="s">
        <v>171</v>
      </c>
      <c r="E106" s="586"/>
      <c r="F106" s="586"/>
      <c r="G106" s="586"/>
      <c r="H106" s="586"/>
      <c r="I106" s="588"/>
      <c r="J106" s="588"/>
      <c r="K106" s="588"/>
      <c r="L106" s="589">
        <f>SUM(L103:L105)</f>
        <v>0</v>
      </c>
      <c r="M106" s="589"/>
      <c r="N106" s="589" t="e">
        <f>+N100-L106</f>
        <v>#REF!</v>
      </c>
      <c r="O106" s="592"/>
      <c r="P106" s="592"/>
      <c r="Q106" s="592"/>
    </row>
    <row r="107" spans="1:19" x14ac:dyDescent="0.25">
      <c r="A107" s="524"/>
      <c r="B107" s="527"/>
      <c r="C107" s="505"/>
      <c r="D107" s="505"/>
      <c r="E107" s="505"/>
      <c r="F107" s="505"/>
      <c r="G107" s="505"/>
      <c r="H107" s="505"/>
      <c r="I107" s="505"/>
      <c r="J107" s="505"/>
      <c r="K107" s="505"/>
      <c r="L107" s="505"/>
      <c r="M107" s="505"/>
      <c r="N107" s="505"/>
      <c r="O107" s="505"/>
      <c r="P107" s="505"/>
      <c r="Q107" s="505"/>
    </row>
    <row r="108" spans="1:19" x14ac:dyDescent="0.25">
      <c r="A108" s="524"/>
      <c r="B108" s="537" t="e">
        <f>+#REF!</f>
        <v>#REF!</v>
      </c>
      <c r="C108" s="537"/>
      <c r="D108" s="537"/>
      <c r="E108" s="537"/>
      <c r="F108" s="537"/>
      <c r="G108" s="537"/>
      <c r="H108" s="537"/>
      <c r="I108" s="522"/>
      <c r="J108" s="522"/>
      <c r="K108" s="522"/>
      <c r="L108" s="538"/>
      <c r="M108" s="538"/>
      <c r="N108" s="538" t="e">
        <f>SUM(N109:N112)</f>
        <v>#REF!</v>
      </c>
      <c r="O108" s="538"/>
      <c r="P108" s="538"/>
      <c r="Q108" s="538"/>
      <c r="S108" s="521">
        <f>+'[11]Pagu SDA'!AD233</f>
        <v>10170000</v>
      </c>
    </row>
    <row r="109" spans="1:19" x14ac:dyDescent="0.25">
      <c r="A109" s="524"/>
      <c r="B109" s="155"/>
      <c r="C109" s="541" t="s">
        <v>37</v>
      </c>
      <c r="D109" s="90" t="e">
        <f>+#REF!</f>
        <v>#REF!</v>
      </c>
      <c r="E109" s="90"/>
      <c r="F109" s="155"/>
      <c r="G109" s="155"/>
      <c r="H109" s="155"/>
      <c r="I109" s="505"/>
      <c r="J109" s="505"/>
      <c r="K109" s="505"/>
      <c r="L109" s="155"/>
      <c r="M109" s="155"/>
      <c r="N109" s="539" t="e">
        <f>+#REF!</f>
        <v>#REF!</v>
      </c>
      <c r="O109" s="539"/>
      <c r="P109" s="539"/>
      <c r="Q109" s="539"/>
    </row>
    <row r="110" spans="1:19" x14ac:dyDescent="0.25">
      <c r="A110" s="524"/>
      <c r="B110" s="155"/>
      <c r="C110" s="541" t="s">
        <v>37</v>
      </c>
      <c r="D110" s="90" t="e">
        <f>+#REF!</f>
        <v>#REF!</v>
      </c>
      <c r="E110" s="90"/>
      <c r="F110" s="155"/>
      <c r="G110" s="155"/>
      <c r="H110" s="155"/>
      <c r="I110" s="505"/>
      <c r="J110" s="505"/>
      <c r="K110" s="505"/>
      <c r="L110" s="155"/>
      <c r="M110" s="155"/>
      <c r="N110" s="539" t="e">
        <f>+#REF!</f>
        <v>#REF!</v>
      </c>
      <c r="O110" s="539"/>
      <c r="P110" s="539"/>
      <c r="Q110" s="539"/>
    </row>
    <row r="111" spans="1:19" x14ac:dyDescent="0.25">
      <c r="A111" s="524"/>
      <c r="B111" s="155"/>
      <c r="C111" s="541" t="s">
        <v>37</v>
      </c>
      <c r="D111" s="90" t="e">
        <f>+#REF!</f>
        <v>#REF!</v>
      </c>
      <c r="E111" s="90"/>
      <c r="F111" s="155"/>
      <c r="G111" s="155"/>
      <c r="H111" s="155"/>
      <c r="I111" s="505"/>
      <c r="J111" s="505"/>
      <c r="K111" s="505"/>
      <c r="L111" s="155"/>
      <c r="M111" s="155"/>
      <c r="N111" s="539" t="e">
        <f>+#REF!</f>
        <v>#REF!</v>
      </c>
      <c r="O111" s="539"/>
      <c r="P111" s="539"/>
      <c r="Q111" s="539"/>
    </row>
    <row r="112" spans="1:19" x14ac:dyDescent="0.25">
      <c r="A112" s="524"/>
      <c r="B112" s="155"/>
      <c r="C112" s="541"/>
      <c r="D112" s="90"/>
      <c r="E112" s="155"/>
      <c r="F112" s="155"/>
      <c r="G112" s="155"/>
      <c r="H112" s="155"/>
      <c r="I112" s="505"/>
      <c r="J112" s="505"/>
      <c r="K112" s="505"/>
      <c r="L112" s="155"/>
      <c r="M112" s="155"/>
      <c r="N112" s="155"/>
      <c r="O112" s="155"/>
      <c r="P112" s="155"/>
      <c r="Q112" s="155"/>
    </row>
    <row r="113" spans="1:19" ht="13.8" thickBot="1" x14ac:dyDescent="0.3">
      <c r="A113" s="524"/>
      <c r="B113" s="1132" t="s">
        <v>343</v>
      </c>
      <c r="C113" s="1133"/>
      <c r="D113" s="1132" t="s">
        <v>347</v>
      </c>
      <c r="E113" s="1134"/>
      <c r="F113" s="1134"/>
      <c r="G113" s="1134"/>
      <c r="H113" s="1134"/>
      <c r="I113" s="1135"/>
      <c r="J113" s="1140" t="s">
        <v>360</v>
      </c>
      <c r="K113" s="1139"/>
      <c r="L113" s="578" t="s">
        <v>342</v>
      </c>
      <c r="M113" s="578" t="s">
        <v>341</v>
      </c>
      <c r="N113" s="578" t="s">
        <v>312</v>
      </c>
      <c r="O113" s="591"/>
      <c r="P113" s="591"/>
      <c r="Q113" s="591"/>
    </row>
    <row r="114" spans="1:19" ht="13.8" thickTop="1" x14ac:dyDescent="0.25">
      <c r="A114" s="524"/>
      <c r="B114" s="519">
        <v>1</v>
      </c>
      <c r="C114" s="518"/>
      <c r="D114" s="519"/>
      <c r="E114" s="518"/>
      <c r="F114" s="518"/>
      <c r="G114" s="518"/>
      <c r="H114" s="518"/>
      <c r="I114" s="517"/>
      <c r="J114" s="517"/>
      <c r="K114" s="517"/>
      <c r="L114" s="530"/>
      <c r="M114" s="530"/>
      <c r="N114" s="530"/>
      <c r="O114" s="505"/>
      <c r="P114" s="505"/>
      <c r="Q114" s="505"/>
    </row>
    <row r="115" spans="1:19" x14ac:dyDescent="0.25">
      <c r="A115" s="524"/>
      <c r="B115" s="516">
        <f>+B114+1</f>
        <v>2</v>
      </c>
      <c r="C115" s="515"/>
      <c r="D115" s="516"/>
      <c r="E115" s="515"/>
      <c r="F115" s="515"/>
      <c r="G115" s="515"/>
      <c r="H115" s="515"/>
      <c r="I115" s="514"/>
      <c r="J115" s="514"/>
      <c r="K115" s="514"/>
      <c r="L115" s="528"/>
      <c r="M115" s="528"/>
      <c r="N115" s="528"/>
      <c r="O115" s="505"/>
      <c r="P115" s="505"/>
      <c r="Q115" s="505"/>
    </row>
    <row r="116" spans="1:19" ht="13.8" thickBot="1" x14ac:dyDescent="0.3">
      <c r="A116" s="524"/>
      <c r="B116" s="523">
        <f>+B115+1</f>
        <v>3</v>
      </c>
      <c r="C116" s="515"/>
      <c r="D116" s="516"/>
      <c r="E116" s="515"/>
      <c r="F116" s="515"/>
      <c r="G116" s="515"/>
      <c r="H116" s="515"/>
      <c r="I116" s="514"/>
      <c r="J116" s="514"/>
      <c r="K116" s="514"/>
      <c r="L116" s="528"/>
      <c r="M116" s="528"/>
      <c r="N116" s="528"/>
      <c r="O116" s="505"/>
      <c r="P116" s="505"/>
      <c r="Q116" s="505"/>
    </row>
    <row r="117" spans="1:19" ht="13.8" thickTop="1" x14ac:dyDescent="0.25">
      <c r="A117" s="524"/>
      <c r="B117" s="585"/>
      <c r="C117" s="586"/>
      <c r="D117" s="587" t="s">
        <v>171</v>
      </c>
      <c r="E117" s="586"/>
      <c r="F117" s="586"/>
      <c r="G117" s="586"/>
      <c r="H117" s="586"/>
      <c r="I117" s="588"/>
      <c r="J117" s="588"/>
      <c r="K117" s="588"/>
      <c r="L117" s="589">
        <f>SUM(L114:L116)</f>
        <v>0</v>
      </c>
      <c r="M117" s="589"/>
      <c r="N117" s="589" t="e">
        <f>+N108-L117</f>
        <v>#REF!</v>
      </c>
      <c r="O117" s="505"/>
      <c r="P117" s="505"/>
      <c r="Q117" s="505"/>
    </row>
    <row r="118" spans="1:19" x14ac:dyDescent="0.25">
      <c r="A118" s="524"/>
      <c r="B118" s="527"/>
      <c r="C118" s="505"/>
      <c r="D118" s="505"/>
      <c r="E118" s="505"/>
      <c r="F118" s="505"/>
      <c r="G118" s="505"/>
      <c r="H118" s="505"/>
      <c r="I118" s="505"/>
      <c r="J118" s="505"/>
      <c r="K118" s="505"/>
      <c r="L118" s="505"/>
      <c r="M118" s="505"/>
      <c r="N118" s="505"/>
      <c r="O118" s="505"/>
      <c r="P118" s="505"/>
      <c r="Q118" s="505"/>
    </row>
    <row r="119" spans="1:19" x14ac:dyDescent="0.25">
      <c r="A119" s="524"/>
      <c r="B119" s="634" t="e">
        <f>+#REF!</f>
        <v>#REF!</v>
      </c>
      <c r="C119" s="550"/>
      <c r="D119" s="550"/>
      <c r="E119" s="550"/>
      <c r="F119" s="550"/>
      <c r="G119" s="505"/>
      <c r="H119" s="505"/>
      <c r="I119" s="505"/>
      <c r="J119" s="505"/>
      <c r="K119" s="505"/>
      <c r="L119" s="505"/>
      <c r="M119" s="505"/>
      <c r="N119" s="505"/>
      <c r="O119" s="505"/>
      <c r="P119" s="505"/>
      <c r="Q119" s="505"/>
    </row>
    <row r="120" spans="1:19" x14ac:dyDescent="0.25">
      <c r="A120" s="524"/>
      <c r="B120" s="537" t="e">
        <f>+#REF!</f>
        <v>#REF!</v>
      </c>
      <c r="C120" s="537"/>
      <c r="D120" s="537"/>
      <c r="E120" s="537"/>
      <c r="F120" s="537"/>
      <c r="G120" s="537"/>
      <c r="H120" s="537"/>
      <c r="I120" s="522"/>
      <c r="J120" s="522"/>
      <c r="K120" s="522"/>
      <c r="L120" s="538"/>
      <c r="M120" s="538"/>
      <c r="N120" s="538" t="e">
        <f>SUM(N121:N122)</f>
        <v>#REF!</v>
      </c>
      <c r="O120" s="538"/>
      <c r="P120" s="538"/>
      <c r="Q120" s="538"/>
      <c r="S120" s="521">
        <f>+'[11]Pagu SDA'!AD234</f>
        <v>14070000</v>
      </c>
    </row>
    <row r="121" spans="1:19" x14ac:dyDescent="0.25">
      <c r="A121" s="524"/>
      <c r="B121" s="155"/>
      <c r="C121" s="541" t="s">
        <v>37</v>
      </c>
      <c r="D121" s="90" t="e">
        <f>+#REF!</f>
        <v>#REF!</v>
      </c>
      <c r="E121" s="155"/>
      <c r="F121" s="155"/>
      <c r="G121" s="155"/>
      <c r="H121" s="155"/>
      <c r="I121" s="505"/>
      <c r="J121" s="505"/>
      <c r="K121" s="505"/>
      <c r="L121" s="155"/>
      <c r="M121" s="155"/>
      <c r="N121" s="539" t="e">
        <f>+#REF!</f>
        <v>#REF!</v>
      </c>
      <c r="O121" s="539"/>
      <c r="P121" s="539"/>
      <c r="Q121" s="539"/>
    </row>
    <row r="122" spans="1:19" x14ac:dyDescent="0.25">
      <c r="A122" s="524"/>
      <c r="B122" s="155"/>
      <c r="C122" s="541"/>
      <c r="D122" s="90"/>
      <c r="E122" s="155"/>
      <c r="F122" s="155"/>
      <c r="G122" s="155"/>
      <c r="H122" s="155"/>
      <c r="I122" s="505"/>
      <c r="J122" s="505"/>
      <c r="K122" s="505"/>
      <c r="L122" s="155"/>
      <c r="M122" s="155"/>
      <c r="N122" s="155"/>
      <c r="O122" s="155"/>
      <c r="P122" s="155"/>
      <c r="Q122" s="155"/>
    </row>
    <row r="123" spans="1:19" ht="13.8" thickBot="1" x14ac:dyDescent="0.3">
      <c r="A123" s="524"/>
      <c r="B123" s="1132" t="s">
        <v>343</v>
      </c>
      <c r="C123" s="1133"/>
      <c r="D123" s="1132" t="s">
        <v>347</v>
      </c>
      <c r="E123" s="1134"/>
      <c r="F123" s="1134"/>
      <c r="G123" s="1134"/>
      <c r="H123" s="1134"/>
      <c r="I123" s="1135"/>
      <c r="J123" s="1140" t="s">
        <v>360</v>
      </c>
      <c r="K123" s="1139"/>
      <c r="L123" s="578" t="s">
        <v>342</v>
      </c>
      <c r="M123" s="578" t="s">
        <v>341</v>
      </c>
      <c r="N123" s="578" t="s">
        <v>312</v>
      </c>
      <c r="O123" s="591"/>
      <c r="P123" s="591"/>
      <c r="Q123" s="591"/>
    </row>
    <row r="124" spans="1:19" ht="13.8" thickTop="1" x14ac:dyDescent="0.25">
      <c r="A124" s="524"/>
      <c r="B124" s="519"/>
      <c r="C124" s="518"/>
      <c r="D124" s="516"/>
      <c r="E124" s="518"/>
      <c r="F124" s="518"/>
      <c r="G124" s="518"/>
      <c r="H124" s="518"/>
      <c r="I124" s="517"/>
      <c r="J124" s="556"/>
      <c r="K124" s="556"/>
      <c r="L124" s="558"/>
      <c r="M124" s="530"/>
      <c r="N124" s="530"/>
      <c r="O124" s="505"/>
      <c r="P124" s="505"/>
      <c r="Q124" s="505"/>
    </row>
    <row r="125" spans="1:19" x14ac:dyDescent="0.25">
      <c r="A125" s="524"/>
      <c r="B125" s="516"/>
      <c r="C125" s="515"/>
      <c r="D125" s="529"/>
      <c r="E125" s="515"/>
      <c r="F125" s="515"/>
      <c r="G125" s="515"/>
      <c r="H125" s="515"/>
      <c r="I125" s="514"/>
      <c r="J125" s="563"/>
      <c r="K125" s="595"/>
      <c r="L125" s="563"/>
      <c r="M125" s="528"/>
      <c r="N125" s="528"/>
      <c r="O125" s="505"/>
      <c r="P125" s="505"/>
      <c r="Q125" s="505"/>
    </row>
    <row r="126" spans="1:19" ht="13.8" thickBot="1" x14ac:dyDescent="0.3">
      <c r="A126" s="524"/>
      <c r="B126" s="523"/>
      <c r="C126" s="515"/>
      <c r="D126" s="516"/>
      <c r="E126" s="515"/>
      <c r="F126" s="515"/>
      <c r="G126" s="515"/>
      <c r="H126" s="515"/>
      <c r="I126" s="514"/>
      <c r="J126" s="514"/>
      <c r="K126" s="514"/>
      <c r="L126" s="528"/>
      <c r="M126" s="528"/>
      <c r="N126" s="528"/>
      <c r="O126" s="505"/>
      <c r="P126" s="505"/>
      <c r="Q126" s="505"/>
    </row>
    <row r="127" spans="1:19" ht="13.8" thickTop="1" x14ac:dyDescent="0.25">
      <c r="A127" s="524"/>
      <c r="B127" s="585"/>
      <c r="C127" s="586"/>
      <c r="D127" s="587"/>
      <c r="E127" s="586"/>
      <c r="F127" s="586"/>
      <c r="G127" s="586"/>
      <c r="H127" s="586"/>
      <c r="I127" s="588"/>
      <c r="J127" s="588"/>
      <c r="K127" s="588"/>
      <c r="L127" s="589"/>
      <c r="M127" s="589"/>
      <c r="N127" s="589"/>
      <c r="O127" s="592"/>
      <c r="P127" s="592"/>
      <c r="Q127" s="592"/>
    </row>
    <row r="128" spans="1:19" x14ac:dyDescent="0.25">
      <c r="A128" s="524"/>
      <c r="B128" s="527"/>
      <c r="C128" s="505"/>
      <c r="D128" s="505"/>
      <c r="E128" s="505"/>
      <c r="F128" s="505"/>
      <c r="G128" s="505"/>
      <c r="H128" s="505"/>
      <c r="I128" s="505"/>
      <c r="J128" s="505"/>
      <c r="K128" s="505"/>
      <c r="L128" s="505"/>
      <c r="M128" s="505"/>
      <c r="N128" s="505"/>
      <c r="O128" s="505"/>
      <c r="P128" s="505"/>
      <c r="Q128" s="505"/>
    </row>
    <row r="129" spans="1:19" x14ac:dyDescent="0.25">
      <c r="A129" s="524"/>
      <c r="B129" s="537" t="e">
        <f>+#REF!</f>
        <v>#REF!</v>
      </c>
      <c r="C129" s="537"/>
      <c r="D129" s="537"/>
      <c r="E129" s="537"/>
      <c r="F129" s="537"/>
      <c r="G129" s="537"/>
      <c r="H129" s="537"/>
      <c r="I129" s="522"/>
      <c r="J129" s="522"/>
      <c r="K129" s="522"/>
      <c r="L129" s="538"/>
      <c r="M129" s="538"/>
      <c r="N129" s="538" t="e">
        <f>+#REF!</f>
        <v>#REF!</v>
      </c>
      <c r="O129" s="538"/>
      <c r="P129" s="538"/>
      <c r="Q129" s="538"/>
      <c r="S129" s="521">
        <f>+'[11]Pagu SDA'!AD235</f>
        <v>32770000</v>
      </c>
    </row>
    <row r="130" spans="1:19" x14ac:dyDescent="0.25">
      <c r="A130" s="524"/>
      <c r="B130" s="155"/>
      <c r="C130" s="541" t="s">
        <v>37</v>
      </c>
      <c r="D130" s="90" t="e">
        <f>+#REF!</f>
        <v>#REF!</v>
      </c>
      <c r="E130" s="155"/>
      <c r="F130" s="155"/>
      <c r="G130" s="155"/>
      <c r="H130" s="155"/>
      <c r="I130" s="505"/>
      <c r="J130" s="505"/>
      <c r="K130" s="505"/>
      <c r="L130" s="155"/>
      <c r="M130" s="155"/>
      <c r="N130" s="539" t="e">
        <f>+#REF!</f>
        <v>#REF!</v>
      </c>
      <c r="O130" s="539"/>
      <c r="P130" s="539"/>
      <c r="Q130" s="539"/>
    </row>
    <row r="131" spans="1:19" x14ac:dyDescent="0.25">
      <c r="A131" s="524"/>
      <c r="B131" s="155"/>
      <c r="C131" s="541" t="s">
        <v>37</v>
      </c>
      <c r="D131" s="90" t="e">
        <f>+#REF!</f>
        <v>#REF!</v>
      </c>
      <c r="E131" s="155"/>
      <c r="F131" s="155"/>
      <c r="G131" s="155"/>
      <c r="H131" s="155"/>
      <c r="I131" s="505"/>
      <c r="J131" s="505"/>
      <c r="K131" s="505"/>
      <c r="L131" s="155"/>
      <c r="M131" s="155"/>
      <c r="N131" s="539" t="e">
        <f>+#REF!</f>
        <v>#REF!</v>
      </c>
      <c r="O131" s="539"/>
      <c r="P131" s="539"/>
      <c r="Q131" s="539"/>
    </row>
    <row r="132" spans="1:19" x14ac:dyDescent="0.25">
      <c r="A132" s="524"/>
      <c r="B132" s="155"/>
      <c r="C132" s="541" t="s">
        <v>37</v>
      </c>
      <c r="D132" s="90" t="e">
        <f>+#REF!</f>
        <v>#REF!</v>
      </c>
      <c r="E132" s="155"/>
      <c r="F132" s="155"/>
      <c r="G132" s="155"/>
      <c r="H132" s="155"/>
      <c r="I132" s="505"/>
      <c r="J132" s="505"/>
      <c r="K132" s="505"/>
      <c r="L132" s="155"/>
      <c r="M132" s="155"/>
      <c r="N132" s="539" t="e">
        <f>+#REF!</f>
        <v>#REF!</v>
      </c>
      <c r="O132" s="539"/>
      <c r="P132" s="539"/>
      <c r="Q132" s="539"/>
    </row>
    <row r="133" spans="1:19" x14ac:dyDescent="0.25">
      <c r="A133" s="524"/>
      <c r="B133" s="155"/>
      <c r="C133" s="541" t="s">
        <v>37</v>
      </c>
      <c r="D133" s="90" t="e">
        <f>+#REF!</f>
        <v>#REF!</v>
      </c>
      <c r="E133" s="155"/>
      <c r="F133" s="155"/>
      <c r="G133" s="155"/>
      <c r="H133" s="155"/>
      <c r="I133" s="505"/>
      <c r="J133" s="505"/>
      <c r="K133" s="505"/>
      <c r="L133" s="155"/>
      <c r="M133" s="155"/>
      <c r="N133" s="539" t="e">
        <f>+#REF!</f>
        <v>#REF!</v>
      </c>
      <c r="O133" s="155"/>
      <c r="P133" s="155"/>
      <c r="Q133" s="155"/>
    </row>
    <row r="134" spans="1:19" x14ac:dyDescent="0.25">
      <c r="A134" s="524"/>
      <c r="B134" s="155"/>
      <c r="C134" s="541"/>
      <c r="D134" s="90" t="e">
        <f>+#REF!</f>
        <v>#REF!</v>
      </c>
      <c r="E134" s="155"/>
      <c r="F134" s="155"/>
      <c r="G134" s="155"/>
      <c r="H134" s="155"/>
      <c r="I134" s="505"/>
      <c r="J134" s="505"/>
      <c r="K134" s="505"/>
      <c r="L134" s="155"/>
      <c r="M134" s="155"/>
      <c r="N134" s="539" t="e">
        <f>+#REF!</f>
        <v>#REF!</v>
      </c>
      <c r="O134" s="155"/>
      <c r="P134" s="155"/>
      <c r="Q134" s="155"/>
    </row>
    <row r="135" spans="1:19" x14ac:dyDescent="0.25">
      <c r="A135" s="524"/>
      <c r="B135" s="155"/>
      <c r="C135" s="541"/>
      <c r="D135" s="90" t="e">
        <f>+#REF!</f>
        <v>#REF!</v>
      </c>
      <c r="E135" s="155"/>
      <c r="F135" s="155"/>
      <c r="G135" s="155"/>
      <c r="H135" s="155"/>
      <c r="I135" s="505"/>
      <c r="J135" s="505"/>
      <c r="K135" s="505"/>
      <c r="L135" s="155"/>
      <c r="M135" s="155"/>
      <c r="N135" s="539" t="e">
        <f>+#REF!</f>
        <v>#REF!</v>
      </c>
      <c r="O135" s="155"/>
      <c r="P135" s="155"/>
      <c r="Q135" s="155"/>
    </row>
    <row r="136" spans="1:19" x14ac:dyDescent="0.25">
      <c r="A136" s="524"/>
      <c r="B136" s="155"/>
      <c r="C136" s="541"/>
      <c r="D136" s="90" t="e">
        <f>+#REF!</f>
        <v>#REF!</v>
      </c>
      <c r="E136" s="155"/>
      <c r="F136" s="155"/>
      <c r="G136" s="155"/>
      <c r="H136" s="155"/>
      <c r="I136" s="505"/>
      <c r="J136" s="505"/>
      <c r="K136" s="505"/>
      <c r="L136" s="155"/>
      <c r="M136" s="155"/>
      <c r="N136" s="539" t="e">
        <f>+#REF!</f>
        <v>#REF!</v>
      </c>
      <c r="O136" s="155"/>
      <c r="P136" s="155"/>
      <c r="Q136" s="155"/>
    </row>
    <row r="137" spans="1:19" x14ac:dyDescent="0.25">
      <c r="A137" s="524"/>
      <c r="B137" s="155"/>
      <c r="C137" s="541"/>
      <c r="D137" s="90" t="e">
        <f>+#REF!</f>
        <v>#REF!</v>
      </c>
      <c r="E137" s="155"/>
      <c r="F137" s="155"/>
      <c r="G137" s="155"/>
      <c r="H137" s="155"/>
      <c r="I137" s="505"/>
      <c r="J137" s="505"/>
      <c r="K137" s="505"/>
      <c r="L137" s="155"/>
      <c r="M137" s="155"/>
      <c r="N137" s="539" t="e">
        <f>+#REF!</f>
        <v>#REF!</v>
      </c>
      <c r="O137" s="155"/>
      <c r="P137" s="155"/>
      <c r="Q137" s="155"/>
    </row>
    <row r="138" spans="1:19" x14ac:dyDescent="0.25">
      <c r="A138" s="524"/>
      <c r="B138" s="155"/>
      <c r="C138" s="541"/>
      <c r="D138" s="90" t="e">
        <f>+#REF!</f>
        <v>#REF!</v>
      </c>
      <c r="E138" s="155"/>
      <c r="F138" s="155"/>
      <c r="G138" s="155"/>
      <c r="H138" s="155"/>
      <c r="I138" s="505"/>
      <c r="J138" s="505"/>
      <c r="K138" s="505"/>
      <c r="L138" s="155"/>
      <c r="M138" s="155"/>
      <c r="N138" s="539" t="e">
        <f>+#REF!</f>
        <v>#REF!</v>
      </c>
      <c r="O138" s="155"/>
      <c r="P138" s="155"/>
      <c r="Q138" s="155"/>
    </row>
    <row r="139" spans="1:19" x14ac:dyDescent="0.25">
      <c r="A139" s="524"/>
      <c r="B139" s="155"/>
      <c r="C139" s="541"/>
      <c r="D139" s="90" t="e">
        <f>+#REF!</f>
        <v>#REF!</v>
      </c>
      <c r="E139" s="155"/>
      <c r="F139" s="155"/>
      <c r="G139" s="155"/>
      <c r="H139" s="155"/>
      <c r="I139" s="505"/>
      <c r="J139" s="505"/>
      <c r="K139" s="505"/>
      <c r="L139" s="155"/>
      <c r="M139" s="155"/>
      <c r="N139" s="539" t="e">
        <f>+#REF!</f>
        <v>#REF!</v>
      </c>
      <c r="O139" s="155"/>
      <c r="P139" s="155"/>
      <c r="Q139" s="155"/>
    </row>
    <row r="140" spans="1:19" x14ac:dyDescent="0.25">
      <c r="A140" s="524"/>
      <c r="B140" s="155"/>
      <c r="C140" s="541"/>
      <c r="D140" s="90" t="e">
        <f>+#REF!</f>
        <v>#REF!</v>
      </c>
      <c r="E140" s="155"/>
      <c r="F140" s="155"/>
      <c r="G140" s="155"/>
      <c r="H140" s="155"/>
      <c r="I140" s="505"/>
      <c r="J140" s="505"/>
      <c r="K140" s="505"/>
      <c r="L140" s="155"/>
      <c r="M140" s="155"/>
      <c r="N140" s="539" t="e">
        <f>+#REF!</f>
        <v>#REF!</v>
      </c>
      <c r="O140" s="155"/>
      <c r="P140" s="155"/>
      <c r="Q140" s="155"/>
    </row>
    <row r="141" spans="1:19" x14ac:dyDescent="0.25">
      <c r="A141" s="524"/>
      <c r="B141" s="155"/>
      <c r="C141" s="541"/>
      <c r="D141" s="90" t="e">
        <f>+#REF!</f>
        <v>#REF!</v>
      </c>
      <c r="E141" s="155"/>
      <c r="F141" s="155"/>
      <c r="G141" s="155"/>
      <c r="H141" s="155"/>
      <c r="I141" s="505"/>
      <c r="J141" s="505"/>
      <c r="K141" s="505"/>
      <c r="L141" s="155"/>
      <c r="M141" s="155"/>
      <c r="N141" s="539" t="e">
        <f>+#REF!</f>
        <v>#REF!</v>
      </c>
      <c r="O141" s="155"/>
      <c r="P141" s="155"/>
      <c r="Q141" s="155"/>
    </row>
    <row r="142" spans="1:19" x14ac:dyDescent="0.25">
      <c r="A142" s="524"/>
      <c r="B142" s="155"/>
      <c r="C142" s="541"/>
      <c r="D142" s="90" t="e">
        <f>+#REF!</f>
        <v>#REF!</v>
      </c>
      <c r="E142" s="155"/>
      <c r="F142" s="155"/>
      <c r="G142" s="155"/>
      <c r="H142" s="155"/>
      <c r="I142" s="505"/>
      <c r="J142" s="505"/>
      <c r="K142" s="505"/>
      <c r="L142" s="155"/>
      <c r="M142" s="155"/>
      <c r="N142" s="539" t="e">
        <f>+#REF!</f>
        <v>#REF!</v>
      </c>
      <c r="O142" s="155"/>
      <c r="P142" s="155"/>
      <c r="Q142" s="155"/>
    </row>
    <row r="143" spans="1:19" x14ac:dyDescent="0.25">
      <c r="A143" s="524"/>
      <c r="B143" s="155"/>
      <c r="C143" s="541"/>
      <c r="D143" s="90" t="e">
        <f>+#REF!</f>
        <v>#REF!</v>
      </c>
      <c r="E143" s="155"/>
      <c r="F143" s="155"/>
      <c r="G143" s="155"/>
      <c r="H143" s="155"/>
      <c r="I143" s="505"/>
      <c r="J143" s="505"/>
      <c r="K143" s="505"/>
      <c r="L143" s="155"/>
      <c r="M143" s="155"/>
      <c r="N143" s="539" t="e">
        <f>+#REF!</f>
        <v>#REF!</v>
      </c>
      <c r="O143" s="155"/>
      <c r="P143" s="155"/>
      <c r="Q143" s="155"/>
    </row>
    <row r="144" spans="1:19" x14ac:dyDescent="0.25">
      <c r="A144" s="524"/>
      <c r="B144" s="155"/>
      <c r="C144" s="541" t="s">
        <v>37</v>
      </c>
      <c r="D144" s="90" t="e">
        <f>+#REF!</f>
        <v>#REF!</v>
      </c>
      <c r="E144" s="155"/>
      <c r="F144" s="155"/>
      <c r="G144" s="155"/>
      <c r="H144" s="155"/>
      <c r="I144" s="505"/>
      <c r="J144" s="505"/>
      <c r="K144" s="505"/>
      <c r="L144" s="155"/>
      <c r="M144" s="155"/>
      <c r="N144" s="539" t="e">
        <f>+#REF!</f>
        <v>#REF!</v>
      </c>
      <c r="O144" s="155"/>
      <c r="P144" s="155"/>
      <c r="Q144" s="155"/>
    </row>
    <row r="145" spans="1:19" x14ac:dyDescent="0.25">
      <c r="A145" s="524"/>
      <c r="B145" s="155"/>
      <c r="C145" s="541" t="s">
        <v>37</v>
      </c>
      <c r="D145" s="90" t="e">
        <f>+#REF!</f>
        <v>#REF!</v>
      </c>
      <c r="E145" s="155"/>
      <c r="F145" s="155"/>
      <c r="G145" s="155"/>
      <c r="H145" s="155"/>
      <c r="I145" s="505"/>
      <c r="J145" s="505"/>
      <c r="K145" s="505"/>
      <c r="L145" s="155"/>
      <c r="M145" s="155"/>
      <c r="N145" s="539" t="e">
        <f>+#REF!</f>
        <v>#REF!</v>
      </c>
      <c r="O145" s="155"/>
      <c r="P145" s="155"/>
      <c r="Q145" s="155"/>
    </row>
    <row r="146" spans="1:19" x14ac:dyDescent="0.25">
      <c r="A146" s="524"/>
      <c r="B146" s="155"/>
      <c r="C146" s="541" t="s">
        <v>37</v>
      </c>
      <c r="D146" s="90" t="e">
        <f>+#REF!</f>
        <v>#REF!</v>
      </c>
      <c r="E146" s="155"/>
      <c r="F146" s="155"/>
      <c r="G146" s="155"/>
      <c r="H146" s="155"/>
      <c r="I146" s="505"/>
      <c r="J146" s="505"/>
      <c r="K146" s="505"/>
      <c r="L146" s="155"/>
      <c r="M146" s="155"/>
      <c r="N146" s="539" t="e">
        <f>+#REF!</f>
        <v>#REF!</v>
      </c>
      <c r="O146" s="155"/>
      <c r="P146" s="155"/>
      <c r="Q146" s="155"/>
    </row>
    <row r="147" spans="1:19" x14ac:dyDescent="0.25">
      <c r="A147" s="524"/>
      <c r="B147" s="155"/>
      <c r="C147" s="541" t="s">
        <v>37</v>
      </c>
      <c r="D147" s="90" t="e">
        <f>+#REF!</f>
        <v>#REF!</v>
      </c>
      <c r="E147" s="155"/>
      <c r="F147" s="155"/>
      <c r="G147" s="155"/>
      <c r="H147" s="155"/>
      <c r="I147" s="505"/>
      <c r="J147" s="505"/>
      <c r="K147" s="505"/>
      <c r="L147" s="155"/>
      <c r="M147" s="155"/>
      <c r="N147" s="539" t="e">
        <f>+#REF!</f>
        <v>#REF!</v>
      </c>
      <c r="O147" s="155"/>
      <c r="P147" s="155"/>
      <c r="Q147" s="155"/>
    </row>
    <row r="148" spans="1:19" x14ac:dyDescent="0.25">
      <c r="A148" s="524"/>
      <c r="B148" s="155"/>
      <c r="C148" s="541" t="s">
        <v>37</v>
      </c>
      <c r="D148" s="90" t="e">
        <f>+#REF!</f>
        <v>#REF!</v>
      </c>
      <c r="E148" s="155"/>
      <c r="F148" s="155"/>
      <c r="G148" s="155"/>
      <c r="H148" s="155"/>
      <c r="I148" s="505"/>
      <c r="J148" s="505"/>
      <c r="K148" s="505"/>
      <c r="L148" s="155"/>
      <c r="M148" s="155"/>
      <c r="N148" s="539" t="e">
        <f>+#REF!</f>
        <v>#REF!</v>
      </c>
      <c r="O148" s="155"/>
      <c r="P148" s="155"/>
      <c r="Q148" s="155"/>
    </row>
    <row r="149" spans="1:19" x14ac:dyDescent="0.25">
      <c r="A149" s="524"/>
      <c r="B149" s="155"/>
      <c r="C149" s="541" t="s">
        <v>37</v>
      </c>
      <c r="D149" s="90" t="e">
        <f>+#REF!</f>
        <v>#REF!</v>
      </c>
      <c r="E149" s="155"/>
      <c r="F149" s="155"/>
      <c r="G149" s="155"/>
      <c r="H149" s="155"/>
      <c r="I149" s="505"/>
      <c r="J149" s="505"/>
      <c r="K149" s="505"/>
      <c r="L149" s="155"/>
      <c r="M149" s="155"/>
      <c r="N149" s="539" t="e">
        <f>+#REF!</f>
        <v>#REF!</v>
      </c>
      <c r="O149" s="155"/>
      <c r="P149" s="155"/>
      <c r="Q149" s="155"/>
    </row>
    <row r="150" spans="1:19" x14ac:dyDescent="0.25">
      <c r="A150" s="524"/>
      <c r="B150" s="155"/>
      <c r="C150" s="541" t="s">
        <v>37</v>
      </c>
      <c r="D150" s="90" t="e">
        <f>+#REF!</f>
        <v>#REF!</v>
      </c>
      <c r="E150" s="155"/>
      <c r="F150" s="155"/>
      <c r="G150" s="155"/>
      <c r="H150" s="155"/>
      <c r="I150" s="505"/>
      <c r="J150" s="505"/>
      <c r="K150" s="505"/>
      <c r="L150" s="155"/>
      <c r="M150" s="155"/>
      <c r="N150" s="539" t="e">
        <f>+#REF!</f>
        <v>#REF!</v>
      </c>
      <c r="O150" s="155"/>
      <c r="P150" s="155"/>
      <c r="Q150" s="155"/>
    </row>
    <row r="151" spans="1:19" x14ac:dyDescent="0.25">
      <c r="A151" s="524"/>
      <c r="B151" s="155"/>
      <c r="C151" s="541"/>
      <c r="D151" s="90"/>
      <c r="E151" s="155"/>
      <c r="F151" s="155"/>
      <c r="G151" s="155"/>
      <c r="H151" s="155"/>
      <c r="I151" s="505"/>
      <c r="J151" s="505"/>
      <c r="K151" s="505"/>
      <c r="L151" s="155"/>
      <c r="M151" s="155"/>
      <c r="N151" s="155"/>
      <c r="O151" s="155"/>
      <c r="P151" s="155"/>
      <c r="Q151" s="155"/>
    </row>
    <row r="152" spans="1:19" ht="13.8" thickBot="1" x14ac:dyDescent="0.3">
      <c r="A152" s="524"/>
      <c r="B152" s="1132" t="s">
        <v>343</v>
      </c>
      <c r="C152" s="1133"/>
      <c r="D152" s="1132" t="s">
        <v>347</v>
      </c>
      <c r="E152" s="1134"/>
      <c r="F152" s="1134"/>
      <c r="G152" s="1134"/>
      <c r="H152" s="1134"/>
      <c r="I152" s="1135"/>
      <c r="J152" s="1140" t="s">
        <v>360</v>
      </c>
      <c r="K152" s="1139"/>
      <c r="L152" s="578" t="s">
        <v>342</v>
      </c>
      <c r="M152" s="578" t="s">
        <v>341</v>
      </c>
      <c r="N152" s="578" t="s">
        <v>312</v>
      </c>
      <c r="O152" s="591"/>
      <c r="P152" s="591"/>
      <c r="Q152" s="591"/>
    </row>
    <row r="153" spans="1:19" ht="13.8" thickTop="1" x14ac:dyDescent="0.25">
      <c r="A153" s="524"/>
      <c r="B153" s="519">
        <v>1</v>
      </c>
      <c r="C153" s="518"/>
      <c r="D153" s="519"/>
      <c r="E153" s="518"/>
      <c r="F153" s="518"/>
      <c r="G153" s="518"/>
      <c r="H153" s="518"/>
      <c r="I153" s="517"/>
      <c r="J153" s="517"/>
      <c r="K153" s="517"/>
      <c r="L153" s="530"/>
      <c r="M153" s="530"/>
      <c r="N153" s="530"/>
      <c r="O153" s="505"/>
      <c r="P153" s="505"/>
      <c r="Q153" s="505"/>
    </row>
    <row r="154" spans="1:19" x14ac:dyDescent="0.25">
      <c r="A154" s="524"/>
      <c r="B154" s="516">
        <f>+B153+1</f>
        <v>2</v>
      </c>
      <c r="C154" s="515"/>
      <c r="D154" s="516"/>
      <c r="E154" s="515"/>
      <c r="F154" s="515"/>
      <c r="G154" s="515"/>
      <c r="H154" s="515"/>
      <c r="I154" s="514"/>
      <c r="J154" s="514"/>
      <c r="K154" s="514"/>
      <c r="L154" s="528"/>
      <c r="M154" s="528"/>
      <c r="N154" s="528"/>
      <c r="O154" s="505"/>
      <c r="P154" s="505"/>
      <c r="Q154" s="505"/>
    </row>
    <row r="155" spans="1:19" ht="13.8" thickBot="1" x14ac:dyDescent="0.3">
      <c r="A155" s="524"/>
      <c r="B155" s="516">
        <f>+B154+1</f>
        <v>3</v>
      </c>
      <c r="C155" s="515"/>
      <c r="D155" s="516"/>
      <c r="E155" s="515"/>
      <c r="F155" s="515"/>
      <c r="G155" s="515"/>
      <c r="H155" s="515"/>
      <c r="I155" s="514"/>
      <c r="J155" s="514"/>
      <c r="K155" s="514"/>
      <c r="L155" s="528"/>
      <c r="M155" s="528"/>
      <c r="N155" s="528"/>
      <c r="O155" s="505"/>
      <c r="P155" s="505"/>
      <c r="Q155" s="505"/>
    </row>
    <row r="156" spans="1:19" ht="13.8" thickTop="1" x14ac:dyDescent="0.25">
      <c r="A156" s="524"/>
      <c r="B156" s="585"/>
      <c r="C156" s="586"/>
      <c r="D156" s="587" t="s">
        <v>171</v>
      </c>
      <c r="E156" s="586"/>
      <c r="F156" s="586"/>
      <c r="G156" s="586"/>
      <c r="H156" s="586"/>
      <c r="I156" s="588"/>
      <c r="J156" s="588"/>
      <c r="K156" s="588"/>
      <c r="L156" s="589">
        <f>SUM(L153:L155)</f>
        <v>0</v>
      </c>
      <c r="M156" s="589"/>
      <c r="N156" s="589" t="e">
        <f>+N129-L156</f>
        <v>#REF!</v>
      </c>
      <c r="O156" s="592"/>
      <c r="P156" s="592"/>
      <c r="Q156" s="592"/>
    </row>
    <row r="157" spans="1:19" x14ac:dyDescent="0.25">
      <c r="A157" s="524"/>
      <c r="B157" s="527"/>
      <c r="C157" s="505"/>
      <c r="D157" s="505"/>
      <c r="E157" s="505"/>
      <c r="F157" s="505"/>
      <c r="G157" s="505"/>
      <c r="H157" s="505"/>
      <c r="I157" s="505"/>
      <c r="J157" s="505"/>
      <c r="K157" s="505"/>
      <c r="L157" s="505"/>
      <c r="M157" s="505"/>
      <c r="N157" s="505"/>
      <c r="O157" s="505"/>
      <c r="P157" s="505"/>
      <c r="Q157" s="505"/>
    </row>
    <row r="158" spans="1:19" x14ac:dyDescent="0.25">
      <c r="A158" s="612"/>
      <c r="B158" s="551" t="e">
        <f>+#REF!</f>
        <v>#REF!</v>
      </c>
      <c r="C158" s="551"/>
      <c r="D158" s="551"/>
      <c r="E158" s="551"/>
      <c r="F158" s="537"/>
      <c r="G158" s="537"/>
      <c r="H158" s="537"/>
      <c r="I158" s="522"/>
      <c r="J158" s="522"/>
      <c r="K158" s="522"/>
      <c r="L158" s="538"/>
      <c r="M158" s="538"/>
      <c r="N158" s="538" t="e">
        <f>SUM(N159:N161)</f>
        <v>#REF!</v>
      </c>
      <c r="O158" s="538"/>
      <c r="P158" s="538"/>
      <c r="Q158" s="538"/>
      <c r="S158" s="521">
        <f>+'[11]Pagu SDA'!AD237</f>
        <v>8244000</v>
      </c>
    </row>
    <row r="159" spans="1:19" x14ac:dyDescent="0.25">
      <c r="A159" s="533"/>
      <c r="B159" s="538" t="e">
        <f>+#REF!</f>
        <v>#REF!</v>
      </c>
      <c r="C159" s="635"/>
      <c r="D159" s="537"/>
      <c r="E159" s="538"/>
      <c r="F159" s="538"/>
      <c r="G159" s="538"/>
      <c r="H159" s="155"/>
      <c r="I159" s="505"/>
      <c r="J159" s="505"/>
      <c r="K159" s="505"/>
      <c r="L159" s="155"/>
      <c r="M159" s="155"/>
      <c r="N159" s="539" t="e">
        <f>+#REF!</f>
        <v>#REF!</v>
      </c>
      <c r="O159" s="539"/>
      <c r="P159" s="539"/>
      <c r="Q159" s="539"/>
    </row>
    <row r="160" spans="1:19" x14ac:dyDescent="0.25">
      <c r="A160" s="533"/>
      <c r="B160" s="155"/>
      <c r="C160" s="541"/>
      <c r="D160" s="90"/>
      <c r="E160" s="155"/>
      <c r="F160" s="155"/>
      <c r="G160" s="155"/>
      <c r="H160" s="155"/>
      <c r="I160" s="505"/>
      <c r="J160" s="505"/>
      <c r="K160" s="505"/>
      <c r="L160" s="155"/>
      <c r="M160" s="155"/>
      <c r="N160" s="539"/>
      <c r="O160" s="539"/>
      <c r="P160" s="539"/>
      <c r="Q160" s="539"/>
    </row>
    <row r="161" spans="1:19" ht="13.8" thickBot="1" x14ac:dyDescent="0.3">
      <c r="A161" s="533"/>
      <c r="B161" s="1132" t="s">
        <v>343</v>
      </c>
      <c r="C161" s="1133"/>
      <c r="D161" s="1132" t="s">
        <v>347</v>
      </c>
      <c r="E161" s="1134"/>
      <c r="F161" s="1134"/>
      <c r="G161" s="1134"/>
      <c r="H161" s="1134"/>
      <c r="I161" s="1135"/>
      <c r="J161" s="1140" t="s">
        <v>360</v>
      </c>
      <c r="K161" s="1139"/>
      <c r="L161" s="578" t="s">
        <v>342</v>
      </c>
      <c r="M161" s="578" t="s">
        <v>341</v>
      </c>
      <c r="N161" s="578" t="s">
        <v>312</v>
      </c>
      <c r="O161" s="591"/>
      <c r="P161" s="591"/>
      <c r="Q161" s="591"/>
    </row>
    <row r="162" spans="1:19" ht="13.8" thickTop="1" x14ac:dyDescent="0.25">
      <c r="A162" s="533"/>
      <c r="B162" s="519">
        <v>1</v>
      </c>
      <c r="C162" s="518"/>
      <c r="D162" s="519"/>
      <c r="E162" s="518"/>
      <c r="F162" s="518"/>
      <c r="G162" s="518"/>
      <c r="H162" s="518"/>
      <c r="I162" s="517"/>
      <c r="J162" s="517"/>
      <c r="K162" s="611"/>
      <c r="L162" s="530"/>
      <c r="M162" s="530"/>
      <c r="N162" s="530"/>
      <c r="O162" s="505"/>
      <c r="P162" s="505"/>
      <c r="Q162" s="505"/>
    </row>
    <row r="163" spans="1:19" x14ac:dyDescent="0.25">
      <c r="A163" s="533"/>
      <c r="B163" s="516"/>
      <c r="C163" s="515"/>
      <c r="D163" s="516"/>
      <c r="E163" s="515"/>
      <c r="F163" s="515"/>
      <c r="G163" s="515"/>
      <c r="H163" s="515"/>
      <c r="I163" s="514"/>
      <c r="J163" s="514"/>
      <c r="K163" s="514"/>
      <c r="L163" s="528"/>
      <c r="M163" s="528"/>
      <c r="N163" s="528"/>
      <c r="O163" s="505"/>
      <c r="P163" s="505"/>
      <c r="Q163" s="505"/>
    </row>
    <row r="164" spans="1:19" ht="13.8" thickBot="1" x14ac:dyDescent="0.3">
      <c r="A164" s="533"/>
      <c r="B164" s="516"/>
      <c r="C164" s="515"/>
      <c r="D164" s="516"/>
      <c r="E164" s="515"/>
      <c r="F164" s="515"/>
      <c r="G164" s="515"/>
      <c r="H164" s="515"/>
      <c r="I164" s="514"/>
      <c r="J164" s="514"/>
      <c r="K164" s="514"/>
      <c r="L164" s="528"/>
      <c r="M164" s="528"/>
      <c r="N164" s="528"/>
      <c r="O164" s="505"/>
      <c r="P164" s="505"/>
      <c r="Q164" s="505"/>
    </row>
    <row r="165" spans="1:19" ht="13.8" thickTop="1" x14ac:dyDescent="0.25">
      <c r="A165" s="524"/>
      <c r="B165" s="585"/>
      <c r="C165" s="586"/>
      <c r="D165" s="587" t="s">
        <v>171</v>
      </c>
      <c r="E165" s="586"/>
      <c r="F165" s="586"/>
      <c r="G165" s="586"/>
      <c r="H165" s="586"/>
      <c r="I165" s="588"/>
      <c r="J165" s="588"/>
      <c r="K165" s="588"/>
      <c r="L165" s="589">
        <f>SUM(L162:L164)</f>
        <v>0</v>
      </c>
      <c r="M165" s="589"/>
      <c r="N165" s="589"/>
      <c r="O165" s="592"/>
      <c r="P165" s="592"/>
      <c r="Q165" s="592"/>
    </row>
    <row r="166" spans="1:19" x14ac:dyDescent="0.25">
      <c r="A166" s="524"/>
      <c r="B166" s="527"/>
      <c r="C166" s="505"/>
      <c r="D166" s="505"/>
      <c r="E166" s="505"/>
      <c r="F166" s="505"/>
      <c r="G166" s="505"/>
      <c r="H166" s="505"/>
      <c r="I166" s="505"/>
      <c r="J166" s="505"/>
      <c r="K166" s="505"/>
      <c r="L166" s="505"/>
      <c r="M166" s="505"/>
      <c r="N166" s="505"/>
      <c r="O166" s="505"/>
      <c r="P166" s="505"/>
      <c r="Q166" s="505"/>
    </row>
    <row r="167" spans="1:19" x14ac:dyDescent="0.25">
      <c r="A167" s="612"/>
      <c r="B167" s="537" t="e">
        <f>+#REF!</f>
        <v>#REF!</v>
      </c>
      <c r="C167" s="537"/>
      <c r="D167" s="537"/>
      <c r="E167" s="537"/>
      <c r="F167" s="537"/>
      <c r="G167" s="537"/>
      <c r="H167" s="537"/>
      <c r="I167" s="522"/>
      <c r="J167" s="522"/>
      <c r="K167" s="522"/>
      <c r="L167" s="538"/>
      <c r="M167" s="538"/>
      <c r="N167" s="538" t="e">
        <f>SUM(N168:N181)</f>
        <v>#REF!</v>
      </c>
      <c r="O167" s="538"/>
      <c r="P167" s="538"/>
      <c r="Q167" s="538"/>
      <c r="S167" s="521">
        <f>+'[11]Pagu SDA'!AD238</f>
        <v>3020000</v>
      </c>
    </row>
    <row r="168" spans="1:19" x14ac:dyDescent="0.25">
      <c r="A168" s="533"/>
      <c r="B168" s="155"/>
      <c r="C168" s="541" t="s">
        <v>37</v>
      </c>
      <c r="D168" s="90" t="e">
        <f>+#REF!</f>
        <v>#REF!</v>
      </c>
      <c r="E168" s="155"/>
      <c r="F168" s="155"/>
      <c r="G168" s="155"/>
      <c r="H168" s="155"/>
      <c r="I168" s="505"/>
      <c r="J168" s="505"/>
      <c r="K168" s="505"/>
      <c r="L168" s="155"/>
      <c r="M168" s="155"/>
      <c r="N168" s="539" t="e">
        <f>+#REF!</f>
        <v>#REF!</v>
      </c>
      <c r="O168" s="539"/>
      <c r="P168" s="539"/>
      <c r="Q168" s="539"/>
    </row>
    <row r="169" spans="1:19" x14ac:dyDescent="0.25">
      <c r="A169" s="533"/>
      <c r="B169" s="155"/>
      <c r="C169" s="541" t="s">
        <v>37</v>
      </c>
      <c r="D169" s="90" t="e">
        <f>+#REF!</f>
        <v>#REF!</v>
      </c>
      <c r="E169" s="155"/>
      <c r="F169" s="155"/>
      <c r="G169" s="155"/>
      <c r="H169" s="155"/>
      <c r="I169" s="505"/>
      <c r="J169" s="505"/>
      <c r="K169" s="505"/>
      <c r="L169" s="155"/>
      <c r="M169" s="155"/>
      <c r="N169" s="539" t="e">
        <f>+#REF!</f>
        <v>#REF!</v>
      </c>
      <c r="O169" s="539"/>
      <c r="P169" s="539"/>
      <c r="Q169" s="539"/>
    </row>
    <row r="170" spans="1:19" x14ac:dyDescent="0.25">
      <c r="A170" s="533"/>
      <c r="B170" s="155"/>
      <c r="C170" s="541" t="s">
        <v>37</v>
      </c>
      <c r="D170" s="90" t="e">
        <f>+#REF!</f>
        <v>#REF!</v>
      </c>
      <c r="E170" s="155"/>
      <c r="F170" s="155"/>
      <c r="G170" s="155"/>
      <c r="H170" s="155"/>
      <c r="I170" s="505"/>
      <c r="J170" s="505"/>
      <c r="K170" s="505"/>
      <c r="L170" s="155"/>
      <c r="M170" s="155"/>
      <c r="N170" s="539" t="e">
        <f>+#REF!</f>
        <v>#REF!</v>
      </c>
      <c r="O170" s="539"/>
      <c r="P170" s="539"/>
      <c r="Q170" s="539"/>
    </row>
    <row r="171" spans="1:19" x14ac:dyDescent="0.25">
      <c r="A171" s="533"/>
      <c r="B171" s="155"/>
      <c r="C171" s="541" t="s">
        <v>37</v>
      </c>
      <c r="D171" s="90" t="e">
        <f>+#REF!</f>
        <v>#REF!</v>
      </c>
      <c r="E171" s="155"/>
      <c r="F171" s="155"/>
      <c r="G171" s="155"/>
      <c r="H171" s="155"/>
      <c r="I171" s="505"/>
      <c r="J171" s="505"/>
      <c r="K171" s="505"/>
      <c r="L171" s="155"/>
      <c r="M171" s="155"/>
      <c r="N171" s="539" t="e">
        <f>+#REF!</f>
        <v>#REF!</v>
      </c>
      <c r="O171" s="539"/>
      <c r="P171" s="539"/>
      <c r="Q171" s="539"/>
    </row>
    <row r="172" spans="1:19" x14ac:dyDescent="0.25">
      <c r="A172" s="533"/>
      <c r="B172" s="155"/>
      <c r="C172" s="541" t="s">
        <v>37</v>
      </c>
      <c r="D172" s="90" t="e">
        <f>+#REF!</f>
        <v>#REF!</v>
      </c>
      <c r="E172" s="155"/>
      <c r="F172" s="155"/>
      <c r="G172" s="155"/>
      <c r="H172" s="155"/>
      <c r="I172" s="505"/>
      <c r="J172" s="505"/>
      <c r="K172" s="505"/>
      <c r="L172" s="155"/>
      <c r="M172" s="155"/>
      <c r="N172" s="539" t="e">
        <f>+#REF!</f>
        <v>#REF!</v>
      </c>
      <c r="O172" s="539"/>
      <c r="P172" s="539"/>
      <c r="Q172" s="539"/>
    </row>
    <row r="173" spans="1:19" x14ac:dyDescent="0.25">
      <c r="A173" s="533"/>
      <c r="B173" s="155"/>
      <c r="C173" s="541" t="s">
        <v>37</v>
      </c>
      <c r="D173" s="90" t="e">
        <f>+#REF!</f>
        <v>#REF!</v>
      </c>
      <c r="E173" s="155"/>
      <c r="F173" s="155"/>
      <c r="G173" s="155"/>
      <c r="H173" s="155"/>
      <c r="I173" s="505"/>
      <c r="J173" s="505"/>
      <c r="K173" s="505"/>
      <c r="L173" s="155"/>
      <c r="M173" s="155"/>
      <c r="N173" s="539" t="e">
        <f>+#REF!</f>
        <v>#REF!</v>
      </c>
      <c r="O173" s="539"/>
      <c r="P173" s="539"/>
      <c r="Q173" s="539"/>
    </row>
    <row r="174" spans="1:19" x14ac:dyDescent="0.25">
      <c r="A174" s="533"/>
      <c r="B174" s="155"/>
      <c r="C174" s="541" t="s">
        <v>37</v>
      </c>
      <c r="D174" s="90" t="e">
        <f>+#REF!</f>
        <v>#REF!</v>
      </c>
      <c r="E174" s="155"/>
      <c r="F174" s="155"/>
      <c r="G174" s="155"/>
      <c r="H174" s="155"/>
      <c r="I174" s="505"/>
      <c r="J174" s="505"/>
      <c r="K174" s="505"/>
      <c r="L174" s="155"/>
      <c r="M174" s="155"/>
      <c r="N174" s="539" t="e">
        <f>+#REF!</f>
        <v>#REF!</v>
      </c>
      <c r="O174" s="539"/>
      <c r="P174" s="539"/>
      <c r="Q174" s="539"/>
    </row>
    <row r="175" spans="1:19" x14ac:dyDescent="0.25">
      <c r="A175" s="533"/>
      <c r="B175" s="155"/>
      <c r="C175" s="541" t="s">
        <v>37</v>
      </c>
      <c r="D175" s="90" t="e">
        <f>+#REF!</f>
        <v>#REF!</v>
      </c>
      <c r="E175" s="155"/>
      <c r="F175" s="155"/>
      <c r="G175" s="155"/>
      <c r="H175" s="155"/>
      <c r="I175" s="505"/>
      <c r="J175" s="505"/>
      <c r="K175" s="505"/>
      <c r="L175" s="155"/>
      <c r="M175" s="155"/>
      <c r="N175" s="539" t="e">
        <f>+#REF!</f>
        <v>#REF!</v>
      </c>
      <c r="O175" s="539"/>
      <c r="P175" s="539"/>
      <c r="Q175" s="539"/>
    </row>
    <row r="176" spans="1:19" x14ac:dyDescent="0.25">
      <c r="A176" s="533"/>
      <c r="B176" s="155"/>
      <c r="C176" s="541" t="s">
        <v>37</v>
      </c>
      <c r="D176" s="90" t="e">
        <f>+#REF!</f>
        <v>#REF!</v>
      </c>
      <c r="E176" s="155"/>
      <c r="F176" s="155"/>
      <c r="G176" s="155"/>
      <c r="H176" s="155"/>
      <c r="I176" s="505"/>
      <c r="J176" s="505"/>
      <c r="K176" s="505"/>
      <c r="L176" s="155"/>
      <c r="M176" s="155"/>
      <c r="N176" s="539" t="e">
        <f>+#REF!</f>
        <v>#REF!</v>
      </c>
      <c r="O176" s="539"/>
      <c r="P176" s="539"/>
      <c r="Q176" s="539"/>
    </row>
    <row r="177" spans="1:17" x14ac:dyDescent="0.25">
      <c r="A177" s="533"/>
      <c r="B177" s="155"/>
      <c r="C177" s="541" t="s">
        <v>37</v>
      </c>
      <c r="D177" s="90" t="e">
        <f>+#REF!</f>
        <v>#REF!</v>
      </c>
      <c r="E177" s="155"/>
      <c r="F177" s="155"/>
      <c r="G177" s="155"/>
      <c r="H177" s="155"/>
      <c r="I177" s="505"/>
      <c r="J177" s="505"/>
      <c r="K177" s="505"/>
      <c r="L177" s="155"/>
      <c r="M177" s="155"/>
      <c r="N177" s="539" t="e">
        <f>+#REF!</f>
        <v>#REF!</v>
      </c>
      <c r="O177" s="539"/>
      <c r="P177" s="539"/>
      <c r="Q177" s="539"/>
    </row>
    <row r="178" spans="1:17" x14ac:dyDescent="0.25">
      <c r="A178" s="533"/>
      <c r="B178" s="155"/>
      <c r="C178" s="541" t="s">
        <v>37</v>
      </c>
      <c r="D178" s="90" t="e">
        <f>+#REF!</f>
        <v>#REF!</v>
      </c>
      <c r="E178" s="155"/>
      <c r="F178" s="155"/>
      <c r="G178" s="155"/>
      <c r="H178" s="155"/>
      <c r="I178" s="505"/>
      <c r="J178" s="505"/>
      <c r="K178" s="505"/>
      <c r="L178" s="155"/>
      <c r="M178" s="155"/>
      <c r="N178" s="539" t="e">
        <f>+#REF!</f>
        <v>#REF!</v>
      </c>
      <c r="O178" s="539"/>
      <c r="P178" s="539"/>
      <c r="Q178" s="539"/>
    </row>
    <row r="179" spans="1:17" x14ac:dyDescent="0.25">
      <c r="A179" s="533"/>
      <c r="B179" s="155"/>
      <c r="C179" s="541" t="s">
        <v>37</v>
      </c>
      <c r="D179" s="90" t="e">
        <f>+#REF!</f>
        <v>#REF!</v>
      </c>
      <c r="E179" s="155"/>
      <c r="F179" s="155"/>
      <c r="G179" s="155"/>
      <c r="H179" s="155"/>
      <c r="I179" s="505"/>
      <c r="J179" s="505"/>
      <c r="K179" s="505"/>
      <c r="L179" s="155"/>
      <c r="M179" s="155"/>
      <c r="N179" s="539" t="e">
        <f>+#REF!</f>
        <v>#REF!</v>
      </c>
      <c r="O179" s="539"/>
      <c r="P179" s="539"/>
      <c r="Q179" s="539"/>
    </row>
    <row r="180" spans="1:17" x14ac:dyDescent="0.25">
      <c r="A180" s="533"/>
      <c r="B180" s="155"/>
      <c r="C180" s="541" t="s">
        <v>37</v>
      </c>
      <c r="D180" s="90" t="e">
        <f>+#REF!</f>
        <v>#REF!</v>
      </c>
      <c r="E180" s="155"/>
      <c r="F180" s="155"/>
      <c r="G180" s="155"/>
      <c r="H180" s="155"/>
      <c r="I180" s="505"/>
      <c r="J180" s="505"/>
      <c r="K180" s="505"/>
      <c r="L180" s="155"/>
      <c r="M180" s="155"/>
      <c r="N180" s="539" t="e">
        <f>+#REF!</f>
        <v>#REF!</v>
      </c>
      <c r="O180" s="539"/>
      <c r="P180" s="539"/>
      <c r="Q180" s="539"/>
    </row>
    <row r="181" spans="1:17" x14ac:dyDescent="0.25">
      <c r="A181" s="533"/>
      <c r="B181" s="155"/>
      <c r="C181" s="541" t="s">
        <v>37</v>
      </c>
      <c r="D181" s="90" t="e">
        <f>+#REF!</f>
        <v>#REF!</v>
      </c>
      <c r="E181" s="155"/>
      <c r="F181" s="155"/>
      <c r="G181" s="155"/>
      <c r="H181" s="155"/>
      <c r="I181" s="505"/>
      <c r="J181" s="505"/>
      <c r="K181" s="505"/>
      <c r="L181" s="155"/>
      <c r="M181" s="155"/>
      <c r="N181" s="539" t="e">
        <f>+#REF!</f>
        <v>#REF!</v>
      </c>
      <c r="O181" s="539"/>
      <c r="P181" s="539"/>
      <c r="Q181" s="539"/>
    </row>
    <row r="182" spans="1:17" x14ac:dyDescent="0.25">
      <c r="A182" s="533"/>
      <c r="B182" s="155"/>
      <c r="C182" s="541"/>
      <c r="D182" s="90"/>
      <c r="E182" s="155"/>
      <c r="F182" s="155"/>
      <c r="G182" s="155"/>
      <c r="H182" s="155"/>
      <c r="I182" s="505"/>
      <c r="J182" s="505"/>
      <c r="K182" s="505"/>
      <c r="L182" s="155"/>
      <c r="M182" s="155"/>
      <c r="N182" s="539"/>
      <c r="O182" s="539"/>
      <c r="P182" s="539"/>
      <c r="Q182" s="539"/>
    </row>
    <row r="183" spans="1:17" ht="13.8" thickBot="1" x14ac:dyDescent="0.3">
      <c r="A183" s="533"/>
      <c r="B183" s="1132" t="s">
        <v>343</v>
      </c>
      <c r="C183" s="1133"/>
      <c r="D183" s="1132" t="s">
        <v>347</v>
      </c>
      <c r="E183" s="1134"/>
      <c r="F183" s="1134"/>
      <c r="G183" s="1134"/>
      <c r="H183" s="1134"/>
      <c r="I183" s="1135"/>
      <c r="J183" s="1138" t="s">
        <v>361</v>
      </c>
      <c r="K183" s="1139"/>
      <c r="L183" s="578" t="s">
        <v>342</v>
      </c>
      <c r="M183" s="578" t="s">
        <v>341</v>
      </c>
      <c r="N183" s="578" t="s">
        <v>312</v>
      </c>
      <c r="O183" s="591"/>
      <c r="P183" s="591"/>
      <c r="Q183" s="591"/>
    </row>
    <row r="184" spans="1:17" ht="13.8" thickTop="1" x14ac:dyDescent="0.25">
      <c r="A184" s="533"/>
      <c r="B184" s="519">
        <v>1</v>
      </c>
      <c r="C184" s="518"/>
      <c r="D184" s="531"/>
      <c r="E184" s="518"/>
      <c r="F184" s="518"/>
      <c r="G184" s="518"/>
      <c r="H184" s="518"/>
      <c r="I184" s="517"/>
      <c r="J184" s="517"/>
      <c r="K184" s="517"/>
      <c r="L184" s="530"/>
      <c r="M184" s="530"/>
      <c r="N184" s="530"/>
      <c r="O184" s="505"/>
      <c r="P184" s="505"/>
      <c r="Q184" s="505"/>
    </row>
    <row r="185" spans="1:17" x14ac:dyDescent="0.25">
      <c r="A185" s="533"/>
      <c r="B185" s="516">
        <f>+B184+1</f>
        <v>2</v>
      </c>
      <c r="C185" s="515"/>
      <c r="D185" s="516"/>
      <c r="E185" s="515"/>
      <c r="F185" s="515"/>
      <c r="G185" s="515"/>
      <c r="H185" s="515"/>
      <c r="I185" s="514"/>
      <c r="J185" s="514"/>
      <c r="K185" s="514"/>
      <c r="L185" s="528"/>
      <c r="M185" s="528"/>
      <c r="N185" s="528"/>
      <c r="O185" s="505"/>
      <c r="P185" s="505"/>
      <c r="Q185" s="505"/>
    </row>
    <row r="186" spans="1:17" ht="13.8" thickBot="1" x14ac:dyDescent="0.3">
      <c r="A186" s="533"/>
      <c r="B186" s="516">
        <f>+B185+1</f>
        <v>3</v>
      </c>
      <c r="C186" s="515"/>
      <c r="D186" s="516"/>
      <c r="E186" s="515"/>
      <c r="F186" s="515"/>
      <c r="G186" s="515"/>
      <c r="H186" s="515"/>
      <c r="I186" s="514"/>
      <c r="J186" s="514"/>
      <c r="K186" s="514"/>
      <c r="L186" s="528"/>
      <c r="M186" s="528"/>
      <c r="N186" s="528"/>
      <c r="O186" s="505"/>
      <c r="P186" s="505"/>
      <c r="Q186" s="505"/>
    </row>
    <row r="187" spans="1:17" ht="13.8" thickTop="1" x14ac:dyDescent="0.25">
      <c r="A187" s="524"/>
      <c r="B187" s="585"/>
      <c r="C187" s="586"/>
      <c r="D187" s="587"/>
      <c r="E187" s="586"/>
      <c r="F187" s="586"/>
      <c r="G187" s="586"/>
      <c r="H187" s="586"/>
      <c r="I187" s="588"/>
      <c r="J187" s="588"/>
      <c r="K187" s="588"/>
      <c r="L187" s="589"/>
      <c r="M187" s="589"/>
      <c r="N187" s="589"/>
      <c r="O187" s="592"/>
      <c r="P187" s="592"/>
      <c r="Q187" s="592"/>
    </row>
    <row r="188" spans="1:17" x14ac:dyDescent="0.25">
      <c r="A188" s="524"/>
      <c r="B188" s="527"/>
      <c r="C188" s="505"/>
      <c r="D188" s="505"/>
      <c r="E188" s="505"/>
      <c r="F188" s="505"/>
      <c r="G188" s="505"/>
      <c r="H188" s="505"/>
      <c r="I188" s="505"/>
      <c r="J188" s="505"/>
      <c r="K188" s="505"/>
      <c r="L188" s="505"/>
      <c r="M188" s="505"/>
      <c r="N188" s="505"/>
      <c r="O188" s="505"/>
      <c r="P188" s="505"/>
      <c r="Q188" s="505"/>
    </row>
    <row r="189" spans="1:17" x14ac:dyDescent="0.25">
      <c r="A189" s="524"/>
      <c r="B189" s="505" t="e">
        <f>+#REF!</f>
        <v>#REF!</v>
      </c>
      <c r="D189" s="505"/>
      <c r="E189" s="505"/>
      <c r="F189" s="505"/>
      <c r="G189" s="505"/>
      <c r="H189" s="505"/>
      <c r="I189" s="505"/>
      <c r="J189" s="505"/>
      <c r="K189" s="505"/>
      <c r="L189" s="505"/>
      <c r="M189" s="505"/>
      <c r="N189" s="505"/>
      <c r="O189" s="505"/>
      <c r="P189" s="505"/>
      <c r="Q189" s="505"/>
    </row>
    <row r="190" spans="1:17" x14ac:dyDescent="0.25">
      <c r="A190" s="524"/>
      <c r="B190" s="527"/>
      <c r="C190" s="636" t="s">
        <v>362</v>
      </c>
      <c r="D190" s="505" t="e">
        <f>+#REF!</f>
        <v>#REF!</v>
      </c>
      <c r="E190" s="505"/>
      <c r="F190" s="505"/>
      <c r="G190" s="505"/>
      <c r="H190" s="505"/>
      <c r="I190" s="505"/>
      <c r="J190" s="505"/>
      <c r="K190" s="505"/>
      <c r="L190" s="505"/>
      <c r="M190" s="505"/>
      <c r="N190" s="505" t="e">
        <f>+#REF!</f>
        <v>#REF!</v>
      </c>
      <c r="O190" s="505"/>
      <c r="P190" s="505"/>
      <c r="Q190" s="505"/>
    </row>
    <row r="191" spans="1:17" x14ac:dyDescent="0.25">
      <c r="A191" s="524"/>
      <c r="B191" s="527"/>
      <c r="C191" s="505"/>
      <c r="D191" s="505" t="e">
        <f>+#REF!</f>
        <v>#REF!</v>
      </c>
      <c r="E191" s="505"/>
      <c r="F191" s="505"/>
      <c r="G191" s="505"/>
      <c r="H191" s="505"/>
      <c r="I191" s="505"/>
      <c r="J191" s="505"/>
      <c r="K191" s="505"/>
      <c r="L191" s="505"/>
      <c r="M191" s="505"/>
      <c r="N191" s="505" t="e">
        <f>+#REF!</f>
        <v>#REF!</v>
      </c>
      <c r="O191" s="505"/>
      <c r="P191" s="505"/>
      <c r="Q191" s="505"/>
    </row>
    <row r="192" spans="1:17" x14ac:dyDescent="0.25">
      <c r="A192" s="524"/>
      <c r="B192" s="527"/>
      <c r="C192" s="505"/>
      <c r="D192" s="505" t="e">
        <f>+#REF!</f>
        <v>#REF!</v>
      </c>
      <c r="E192" s="505"/>
      <c r="F192" s="505"/>
      <c r="G192" s="505"/>
      <c r="H192" s="505"/>
      <c r="I192" s="505"/>
      <c r="J192" s="505"/>
      <c r="K192" s="505"/>
      <c r="L192" s="505"/>
      <c r="M192" s="505"/>
      <c r="N192" s="505" t="e">
        <f>+#REF!</f>
        <v>#REF!</v>
      </c>
      <c r="O192" s="505"/>
      <c r="P192" s="505"/>
      <c r="Q192" s="505"/>
    </row>
    <row r="193" spans="1:19" x14ac:dyDescent="0.25">
      <c r="A193" s="524"/>
      <c r="B193" s="527"/>
      <c r="C193" s="505"/>
      <c r="D193" s="505" t="e">
        <f>+#REF!</f>
        <v>#REF!</v>
      </c>
      <c r="E193" s="505"/>
      <c r="F193" s="505"/>
      <c r="G193" s="505"/>
      <c r="H193" s="505"/>
      <c r="I193" s="505"/>
      <c r="J193" s="505"/>
      <c r="K193" s="505"/>
      <c r="L193" s="505"/>
      <c r="M193" s="505"/>
      <c r="N193" s="505" t="e">
        <f>+#REF!</f>
        <v>#REF!</v>
      </c>
      <c r="O193" s="505"/>
      <c r="P193" s="505"/>
      <c r="Q193" s="505"/>
    </row>
    <row r="194" spans="1:19" x14ac:dyDescent="0.25">
      <c r="A194" s="524"/>
      <c r="B194" s="527"/>
      <c r="C194" s="505"/>
      <c r="D194" s="505" t="e">
        <f>+#REF!</f>
        <v>#REF!</v>
      </c>
      <c r="E194" s="505"/>
      <c r="F194" s="505"/>
      <c r="G194" s="505"/>
      <c r="H194" s="505"/>
      <c r="I194" s="505"/>
      <c r="J194" s="505"/>
      <c r="K194" s="505"/>
      <c r="L194" s="505"/>
      <c r="M194" s="505"/>
      <c r="N194" s="505" t="e">
        <f>+#REF!</f>
        <v>#REF!</v>
      </c>
      <c r="O194" s="505"/>
      <c r="P194" s="505"/>
      <c r="Q194" s="505"/>
    </row>
    <row r="195" spans="1:19" x14ac:dyDescent="0.25">
      <c r="A195" s="524"/>
      <c r="B195" s="527"/>
      <c r="C195" s="505"/>
      <c r="D195" s="505" t="e">
        <f>+#REF!</f>
        <v>#REF!</v>
      </c>
      <c r="E195" s="505"/>
      <c r="F195" s="505"/>
      <c r="G195" s="505"/>
      <c r="H195" s="505"/>
      <c r="I195" s="505"/>
      <c r="J195" s="505"/>
      <c r="K195" s="505"/>
      <c r="L195" s="505"/>
      <c r="M195" s="505"/>
      <c r="N195" s="505" t="e">
        <f>+#REF!</f>
        <v>#REF!</v>
      </c>
      <c r="O195" s="505"/>
      <c r="P195" s="505"/>
      <c r="Q195" s="505"/>
    </row>
    <row r="196" spans="1:19" x14ac:dyDescent="0.25">
      <c r="A196" s="524"/>
      <c r="B196" s="527"/>
      <c r="C196" s="505"/>
      <c r="D196" s="505" t="e">
        <f>+#REF!</f>
        <v>#REF!</v>
      </c>
      <c r="E196" s="505"/>
      <c r="F196" s="505"/>
      <c r="G196" s="505"/>
      <c r="H196" s="505"/>
      <c r="I196" s="505"/>
      <c r="J196" s="505"/>
      <c r="K196" s="505"/>
      <c r="L196" s="505"/>
      <c r="M196" s="505"/>
      <c r="N196" s="505" t="e">
        <f>+#REF!</f>
        <v>#REF!</v>
      </c>
      <c r="O196" s="505"/>
      <c r="P196" s="505"/>
      <c r="Q196" s="505"/>
    </row>
    <row r="197" spans="1:19" x14ac:dyDescent="0.25">
      <c r="A197" s="524"/>
      <c r="B197" s="527"/>
      <c r="C197" s="505"/>
      <c r="D197" s="505" t="e">
        <f>+#REF!</f>
        <v>#REF!</v>
      </c>
      <c r="E197" s="505"/>
      <c r="F197" s="505"/>
      <c r="G197" s="505"/>
      <c r="H197" s="505"/>
      <c r="I197" s="505"/>
      <c r="J197" s="505"/>
      <c r="K197" s="505"/>
      <c r="L197" s="505"/>
      <c r="M197" s="505"/>
      <c r="N197" s="505" t="e">
        <f>+#REF!</f>
        <v>#REF!</v>
      </c>
      <c r="O197" s="505"/>
      <c r="P197" s="505"/>
      <c r="Q197" s="505"/>
    </row>
    <row r="198" spans="1:19" x14ac:dyDescent="0.25">
      <c r="A198" s="524"/>
      <c r="B198" s="527"/>
      <c r="C198" s="505"/>
      <c r="D198" s="505" t="e">
        <f>+#REF!</f>
        <v>#REF!</v>
      </c>
      <c r="E198" s="505"/>
      <c r="F198" s="505"/>
      <c r="G198" s="505"/>
      <c r="H198" s="505"/>
      <c r="I198" s="505"/>
      <c r="J198" s="505"/>
      <c r="K198" s="505"/>
      <c r="L198" s="505"/>
      <c r="M198" s="505"/>
      <c r="N198" s="505" t="e">
        <f>+#REF!</f>
        <v>#REF!</v>
      </c>
      <c r="O198" s="505"/>
      <c r="P198" s="505"/>
      <c r="Q198" s="505"/>
    </row>
    <row r="199" spans="1:19" x14ac:dyDescent="0.25">
      <c r="A199" s="524"/>
      <c r="B199" s="527"/>
      <c r="C199" s="505"/>
      <c r="D199" s="505" t="e">
        <f>+#REF!</f>
        <v>#REF!</v>
      </c>
      <c r="E199" s="505"/>
      <c r="F199" s="505"/>
      <c r="G199" s="505"/>
      <c r="H199" s="505"/>
      <c r="I199" s="505"/>
      <c r="J199" s="505"/>
      <c r="K199" s="505"/>
      <c r="L199" s="505"/>
      <c r="M199" s="505"/>
      <c r="N199" s="505" t="e">
        <f>+#REF!</f>
        <v>#REF!</v>
      </c>
      <c r="O199" s="505"/>
      <c r="P199" s="505"/>
      <c r="Q199" s="505"/>
    </row>
    <row r="200" spans="1:19" x14ac:dyDescent="0.25">
      <c r="A200" s="524"/>
      <c r="B200" s="527"/>
      <c r="C200" s="505"/>
      <c r="D200" s="505" t="e">
        <f>+#REF!</f>
        <v>#REF!</v>
      </c>
      <c r="E200" s="505"/>
      <c r="F200" s="505"/>
      <c r="G200" s="505"/>
      <c r="H200" s="505"/>
      <c r="I200" s="505"/>
      <c r="J200" s="505"/>
      <c r="K200" s="505"/>
      <c r="L200" s="505"/>
      <c r="M200" s="505"/>
      <c r="N200" s="505" t="e">
        <f>+#REF!</f>
        <v>#REF!</v>
      </c>
      <c r="O200" s="505"/>
      <c r="P200" s="505"/>
      <c r="Q200" s="505"/>
    </row>
    <row r="201" spans="1:19" x14ac:dyDescent="0.25">
      <c r="A201" s="524"/>
      <c r="B201" s="527"/>
      <c r="C201" s="505"/>
      <c r="D201" s="505" t="e">
        <f>+#REF!</f>
        <v>#REF!</v>
      </c>
      <c r="E201" s="505"/>
      <c r="F201" s="505"/>
      <c r="G201" s="505"/>
      <c r="H201" s="505"/>
      <c r="I201" s="505"/>
      <c r="J201" s="505"/>
      <c r="K201" s="505"/>
      <c r="L201" s="505"/>
      <c r="M201" s="505"/>
      <c r="N201" s="505" t="e">
        <f>+#REF!</f>
        <v>#REF!</v>
      </c>
      <c r="O201" s="505"/>
      <c r="P201" s="505"/>
      <c r="Q201" s="505"/>
    </row>
    <row r="202" spans="1:19" x14ac:dyDescent="0.25">
      <c r="A202" s="524"/>
      <c r="B202" s="527"/>
      <c r="C202" s="505"/>
      <c r="D202" s="505" t="e">
        <f>+#REF!</f>
        <v>#REF!</v>
      </c>
      <c r="E202" s="505"/>
      <c r="F202" s="505"/>
      <c r="G202" s="505"/>
      <c r="H202" s="505"/>
      <c r="I202" s="505"/>
      <c r="J202" s="505"/>
      <c r="K202" s="505"/>
      <c r="L202" s="505"/>
      <c r="M202" s="505"/>
      <c r="N202" s="505" t="e">
        <f>+#REF!</f>
        <v>#REF!</v>
      </c>
      <c r="O202" s="505"/>
      <c r="P202" s="505"/>
      <c r="Q202" s="505"/>
    </row>
    <row r="203" spans="1:19" x14ac:dyDescent="0.25">
      <c r="A203" s="524"/>
      <c r="B203" s="527"/>
      <c r="C203" s="505"/>
      <c r="D203" s="505" t="e">
        <f>+#REF!</f>
        <v>#REF!</v>
      </c>
      <c r="E203" s="505"/>
      <c r="F203" s="505"/>
      <c r="G203" s="505"/>
      <c r="H203" s="505"/>
      <c r="I203" s="505"/>
      <c r="J203" s="505"/>
      <c r="K203" s="505"/>
      <c r="L203" s="505"/>
      <c r="M203" s="505"/>
      <c r="N203" s="505" t="e">
        <f>+#REF!</f>
        <v>#REF!</v>
      </c>
      <c r="O203" s="505"/>
      <c r="P203" s="505"/>
      <c r="Q203" s="505"/>
    </row>
    <row r="204" spans="1:19" x14ac:dyDescent="0.25">
      <c r="B204" s="613"/>
      <c r="C204" s="613"/>
      <c r="D204" s="505" t="e">
        <f>+#REF!</f>
        <v>#REF!</v>
      </c>
      <c r="E204" s="176"/>
      <c r="F204" s="176"/>
      <c r="G204" s="90"/>
      <c r="L204" s="155"/>
      <c r="M204" s="155"/>
      <c r="N204" s="505" t="e">
        <f>+#REF!</f>
        <v>#REF!</v>
      </c>
      <c r="O204" s="155"/>
      <c r="P204" s="155"/>
      <c r="Q204" s="155"/>
    </row>
    <row r="205" spans="1:19" x14ac:dyDescent="0.25">
      <c r="B205" s="622"/>
      <c r="C205" s="622"/>
      <c r="D205" s="505" t="e">
        <f>+#REF!</f>
        <v>#REF!</v>
      </c>
      <c r="E205" s="176"/>
      <c r="F205" s="176"/>
      <c r="G205" s="90"/>
      <c r="L205" s="155"/>
      <c r="M205" s="155"/>
      <c r="N205" s="505" t="e">
        <f>+#REF!</f>
        <v>#REF!</v>
      </c>
      <c r="O205" s="155"/>
      <c r="P205" s="155"/>
      <c r="Q205" s="155"/>
    </row>
    <row r="206" spans="1:19" x14ac:dyDescent="0.25">
      <c r="B206" s="622"/>
      <c r="C206" s="622"/>
      <c r="D206" s="505" t="e">
        <f>+#REF!</f>
        <v>#REF!</v>
      </c>
      <c r="E206" s="176"/>
      <c r="F206" s="176"/>
      <c r="G206" s="90"/>
      <c r="L206" s="155"/>
      <c r="M206" s="155"/>
      <c r="N206" s="505" t="e">
        <f>+#REF!</f>
        <v>#REF!</v>
      </c>
      <c r="O206" s="155"/>
      <c r="P206" s="155"/>
      <c r="Q206" s="155"/>
    </row>
    <row r="207" spans="1:19" x14ac:dyDescent="0.25">
      <c r="B207" s="622"/>
      <c r="C207" s="622"/>
      <c r="D207" s="505" t="e">
        <f>+#REF!</f>
        <v>#REF!</v>
      </c>
      <c r="E207" s="176"/>
      <c r="F207" s="176"/>
      <c r="G207" s="90"/>
      <c r="L207" s="155"/>
      <c r="M207" s="155"/>
      <c r="N207" s="505" t="e">
        <f>+#REF!</f>
        <v>#REF!</v>
      </c>
      <c r="O207" s="155"/>
      <c r="P207" s="155"/>
      <c r="Q207" s="155"/>
    </row>
    <row r="208" spans="1:19" x14ac:dyDescent="0.25">
      <c r="A208" s="637"/>
      <c r="B208" s="548"/>
      <c r="C208" s="548"/>
      <c r="D208" s="548"/>
      <c r="E208" s="548"/>
      <c r="F208" s="548"/>
      <c r="G208" s="548"/>
      <c r="H208" s="548"/>
      <c r="I208" s="547"/>
      <c r="J208" s="547"/>
      <c r="K208" s="547"/>
      <c r="L208" s="547"/>
      <c r="M208" s="547"/>
      <c r="N208" s="584"/>
      <c r="O208" s="538"/>
      <c r="P208" s="538"/>
      <c r="Q208" s="538"/>
      <c r="S208" s="542">
        <f>+'[11]Pagu SDA'!AD241</f>
        <v>1980000</v>
      </c>
    </row>
    <row r="209" spans="1:19" ht="13.8" thickBot="1" x14ac:dyDescent="0.3">
      <c r="A209" s="524"/>
      <c r="B209" s="1132" t="s">
        <v>343</v>
      </c>
      <c r="C209" s="1133"/>
      <c r="D209" s="1132" t="s">
        <v>347</v>
      </c>
      <c r="E209" s="1134"/>
      <c r="F209" s="1134"/>
      <c r="G209" s="1134"/>
      <c r="H209" s="1134"/>
      <c r="I209" s="1135"/>
      <c r="J209" s="1138" t="s">
        <v>361</v>
      </c>
      <c r="K209" s="1139"/>
      <c r="L209" s="578" t="s">
        <v>342</v>
      </c>
      <c r="M209" s="578" t="s">
        <v>341</v>
      </c>
      <c r="N209" s="578" t="s">
        <v>312</v>
      </c>
      <c r="O209" s="591"/>
      <c r="P209" s="591"/>
      <c r="Q209" s="591"/>
    </row>
    <row r="210" spans="1:19" ht="13.8" thickTop="1" x14ac:dyDescent="0.25">
      <c r="A210" s="524"/>
      <c r="B210" s="519">
        <v>1</v>
      </c>
      <c r="C210" s="518"/>
      <c r="D210" s="519"/>
      <c r="E210" s="518"/>
      <c r="F210" s="518"/>
      <c r="G210" s="518"/>
      <c r="H210" s="518"/>
      <c r="I210" s="517"/>
      <c r="J210" s="517"/>
      <c r="K210" s="517"/>
      <c r="L210" s="530"/>
      <c r="M210" s="530"/>
      <c r="N210" s="530"/>
      <c r="O210" s="505"/>
      <c r="P210" s="505"/>
      <c r="Q210" s="505"/>
    </row>
    <row r="211" spans="1:19" ht="13.8" thickBot="1" x14ac:dyDescent="0.3">
      <c r="A211" s="524"/>
      <c r="B211" s="516">
        <f>+B210+1</f>
        <v>2</v>
      </c>
      <c r="C211" s="515"/>
      <c r="D211" s="516"/>
      <c r="E211" s="515"/>
      <c r="F211" s="515"/>
      <c r="G211" s="515"/>
      <c r="H211" s="515"/>
      <c r="I211" s="514"/>
      <c r="J211" s="514"/>
      <c r="K211" s="514"/>
      <c r="L211" s="528"/>
      <c r="M211" s="528"/>
      <c r="N211" s="528"/>
      <c r="O211" s="505"/>
      <c r="P211" s="505"/>
      <c r="Q211" s="505"/>
    </row>
    <row r="212" spans="1:19" ht="13.8" thickTop="1" x14ac:dyDescent="0.25">
      <c r="A212" s="524"/>
      <c r="B212" s="585"/>
      <c r="C212" s="586"/>
      <c r="D212" s="587" t="s">
        <v>171</v>
      </c>
      <c r="E212" s="586"/>
      <c r="F212" s="586"/>
      <c r="G212" s="586"/>
      <c r="H212" s="586"/>
      <c r="I212" s="588"/>
      <c r="J212" s="588"/>
      <c r="K212" s="588"/>
      <c r="L212" s="589">
        <f>SUM(L210:L211)</f>
        <v>0</v>
      </c>
      <c r="M212" s="589"/>
      <c r="N212" s="589">
        <f>+N208-L212</f>
        <v>0</v>
      </c>
      <c r="O212" s="592"/>
      <c r="P212" s="592"/>
      <c r="Q212" s="592"/>
    </row>
    <row r="213" spans="1:19" x14ac:dyDescent="0.25">
      <c r="A213" s="524"/>
      <c r="B213" s="527"/>
      <c r="C213" s="505"/>
      <c r="D213" s="505"/>
      <c r="E213" s="505"/>
      <c r="F213" s="505"/>
      <c r="G213" s="505"/>
      <c r="H213" s="505"/>
      <c r="I213" s="505"/>
      <c r="J213" s="505"/>
      <c r="K213" s="505"/>
      <c r="L213" s="505"/>
      <c r="M213" s="505"/>
      <c r="N213" s="505"/>
      <c r="O213" s="505"/>
      <c r="P213" s="505"/>
      <c r="Q213" s="505"/>
    </row>
    <row r="214" spans="1:19" x14ac:dyDescent="0.25">
      <c r="A214" s="612"/>
      <c r="B214" s="90" t="e">
        <f>+#REF!</f>
        <v>#REF!</v>
      </c>
      <c r="C214" s="90"/>
      <c r="D214" s="90"/>
      <c r="E214" s="90"/>
      <c r="F214" s="90"/>
      <c r="G214" s="90"/>
      <c r="H214" s="90"/>
      <c r="I214" s="524"/>
      <c r="J214" s="524"/>
      <c r="K214" s="524"/>
      <c r="L214" s="524"/>
      <c r="M214" s="524"/>
      <c r="N214" s="539" t="e">
        <f>+#REF!</f>
        <v>#REF!</v>
      </c>
      <c r="O214" s="539"/>
      <c r="P214" s="538"/>
      <c r="Q214" s="538"/>
      <c r="S214" s="542">
        <f>+'[11]Pagu SDA'!AD243</f>
        <v>1980000</v>
      </c>
    </row>
    <row r="215" spans="1:19" x14ac:dyDescent="0.25">
      <c r="A215" s="621"/>
      <c r="B215" s="536" t="s">
        <v>362</v>
      </c>
      <c r="C215" s="90" t="e">
        <f>+#REF!</f>
        <v>#REF!</v>
      </c>
      <c r="D215" s="90"/>
      <c r="E215" s="90"/>
      <c r="F215" s="90"/>
      <c r="G215" s="90"/>
      <c r="H215" s="90"/>
      <c r="I215" s="524"/>
      <c r="J215" s="524"/>
      <c r="K215" s="524"/>
      <c r="L215" s="524"/>
      <c r="M215" s="524"/>
      <c r="N215" s="539" t="e">
        <f>+#REF!</f>
        <v>#REF!</v>
      </c>
      <c r="O215" s="539"/>
      <c r="P215" s="538"/>
      <c r="Q215" s="538"/>
      <c r="S215" s="542"/>
    </row>
    <row r="216" spans="1:19" x14ac:dyDescent="0.25">
      <c r="A216" s="621"/>
      <c r="B216" s="536" t="s">
        <v>362</v>
      </c>
      <c r="C216" s="90" t="e">
        <f>+#REF!</f>
        <v>#REF!</v>
      </c>
      <c r="D216" s="90"/>
      <c r="E216" s="90"/>
      <c r="F216" s="90"/>
      <c r="G216" s="90"/>
      <c r="H216" s="90"/>
      <c r="I216" s="524"/>
      <c r="J216" s="524"/>
      <c r="K216" s="524"/>
      <c r="L216" s="524"/>
      <c r="M216" s="524"/>
      <c r="N216" s="539" t="e">
        <f>+#REF!</f>
        <v>#REF!</v>
      </c>
      <c r="O216" s="539"/>
      <c r="P216" s="538"/>
      <c r="Q216" s="538"/>
      <c r="S216" s="542"/>
    </row>
    <row r="217" spans="1:19" x14ac:dyDescent="0.25">
      <c r="A217" s="621"/>
      <c r="B217" s="536" t="s">
        <v>362</v>
      </c>
      <c r="C217" s="90" t="e">
        <f>+#REF!</f>
        <v>#REF!</v>
      </c>
      <c r="D217" s="90"/>
      <c r="E217" s="90"/>
      <c r="F217" s="90"/>
      <c r="G217" s="90"/>
      <c r="H217" s="90"/>
      <c r="I217" s="524"/>
      <c r="J217" s="524"/>
      <c r="K217" s="524"/>
      <c r="L217" s="524"/>
      <c r="M217" s="524"/>
      <c r="N217" s="539" t="e">
        <f>+#REF!</f>
        <v>#REF!</v>
      </c>
      <c r="O217" s="539"/>
      <c r="P217" s="538"/>
      <c r="Q217" s="538"/>
      <c r="S217" s="542"/>
    </row>
    <row r="218" spans="1:19" x14ac:dyDescent="0.25">
      <c r="A218" s="621"/>
      <c r="B218" s="536" t="s">
        <v>362</v>
      </c>
      <c r="C218" s="90" t="e">
        <f>+#REF!</f>
        <v>#REF!</v>
      </c>
      <c r="D218" s="90"/>
      <c r="E218" s="90"/>
      <c r="F218" s="90"/>
      <c r="G218" s="90"/>
      <c r="H218" s="90"/>
      <c r="I218" s="524"/>
      <c r="J218" s="524"/>
      <c r="K218" s="524"/>
      <c r="L218" s="524"/>
      <c r="M218" s="524"/>
      <c r="N218" s="539" t="e">
        <f>+#REF!</f>
        <v>#REF!</v>
      </c>
      <c r="O218" s="539"/>
      <c r="P218" s="538"/>
      <c r="Q218" s="538"/>
      <c r="S218" s="542"/>
    </row>
    <row r="219" spans="1:19" x14ac:dyDescent="0.25">
      <c r="A219" s="621"/>
      <c r="B219" s="536" t="s">
        <v>362</v>
      </c>
      <c r="C219" s="90" t="e">
        <f>+#REF!</f>
        <v>#REF!</v>
      </c>
      <c r="D219" s="90"/>
      <c r="E219" s="90"/>
      <c r="F219" s="90"/>
      <c r="G219" s="90"/>
      <c r="H219" s="90"/>
      <c r="I219" s="524"/>
      <c r="J219" s="524"/>
      <c r="K219" s="524"/>
      <c r="L219" s="524"/>
      <c r="M219" s="524"/>
      <c r="N219" s="539" t="e">
        <f>+#REF!</f>
        <v>#REF!</v>
      </c>
      <c r="O219" s="539"/>
      <c r="P219" s="538"/>
      <c r="Q219" s="538"/>
      <c r="S219" s="542"/>
    </row>
    <row r="220" spans="1:19" x14ac:dyDescent="0.25">
      <c r="A220" s="621"/>
      <c r="B220" s="536" t="s">
        <v>362</v>
      </c>
      <c r="C220" s="90" t="e">
        <f>+#REF!</f>
        <v>#REF!</v>
      </c>
      <c r="D220" s="90"/>
      <c r="E220" s="90"/>
      <c r="F220" s="90"/>
      <c r="G220" s="90"/>
      <c r="H220" s="90"/>
      <c r="I220" s="524"/>
      <c r="J220" s="524"/>
      <c r="K220" s="524"/>
      <c r="L220" s="524"/>
      <c r="M220" s="524"/>
      <c r="N220" s="539" t="e">
        <f>+#REF!</f>
        <v>#REF!</v>
      </c>
      <c r="O220" s="539"/>
      <c r="P220" s="538"/>
      <c r="Q220" s="538"/>
      <c r="S220" s="542"/>
    </row>
    <row r="221" spans="1:19" x14ac:dyDescent="0.25">
      <c r="A221" s="621"/>
      <c r="B221" s="536" t="s">
        <v>362</v>
      </c>
      <c r="C221" s="90" t="e">
        <f>+#REF!</f>
        <v>#REF!</v>
      </c>
      <c r="D221" s="90"/>
      <c r="E221" s="90"/>
      <c r="F221" s="90"/>
      <c r="G221" s="90"/>
      <c r="H221" s="90"/>
      <c r="I221" s="524"/>
      <c r="J221" s="524"/>
      <c r="K221" s="524"/>
      <c r="L221" s="524"/>
      <c r="M221" s="524"/>
      <c r="N221" s="539" t="e">
        <f>+#REF!</f>
        <v>#REF!</v>
      </c>
      <c r="O221" s="539"/>
      <c r="P221" s="538"/>
      <c r="Q221" s="538"/>
      <c r="S221" s="542"/>
    </row>
    <row r="222" spans="1:19" x14ac:dyDescent="0.25">
      <c r="A222" s="621"/>
      <c r="B222" s="536" t="s">
        <v>362</v>
      </c>
      <c r="C222" s="90" t="e">
        <f>+#REF!</f>
        <v>#REF!</v>
      </c>
      <c r="D222" s="90"/>
      <c r="E222" s="90"/>
      <c r="F222" s="90"/>
      <c r="G222" s="90"/>
      <c r="H222" s="90"/>
      <c r="I222" s="524"/>
      <c r="J222" s="524"/>
      <c r="K222" s="524"/>
      <c r="L222" s="524"/>
      <c r="M222" s="524"/>
      <c r="N222" s="539" t="e">
        <f>+#REF!</f>
        <v>#REF!</v>
      </c>
      <c r="O222" s="539"/>
      <c r="P222" s="538"/>
      <c r="Q222" s="538"/>
      <c r="S222" s="542"/>
    </row>
    <row r="223" spans="1:19" x14ac:dyDescent="0.25">
      <c r="A223" s="621"/>
      <c r="B223" s="536" t="s">
        <v>362</v>
      </c>
      <c r="C223" s="90" t="e">
        <f>+#REF!</f>
        <v>#REF!</v>
      </c>
      <c r="D223" s="90"/>
      <c r="E223" s="90"/>
      <c r="F223" s="90"/>
      <c r="G223" s="90"/>
      <c r="H223" s="90"/>
      <c r="I223" s="524"/>
      <c r="J223" s="524"/>
      <c r="K223" s="524"/>
      <c r="L223" s="524"/>
      <c r="M223" s="524"/>
      <c r="N223" s="539" t="e">
        <f>+#REF!</f>
        <v>#REF!</v>
      </c>
      <c r="O223" s="539"/>
      <c r="P223" s="538"/>
      <c r="Q223" s="538"/>
      <c r="S223" s="542"/>
    </row>
    <row r="224" spans="1:19" x14ac:dyDescent="0.25">
      <c r="A224" s="621"/>
      <c r="B224" s="536" t="s">
        <v>362</v>
      </c>
      <c r="C224" s="90" t="e">
        <f>+#REF!</f>
        <v>#REF!</v>
      </c>
      <c r="D224" s="90"/>
      <c r="E224" s="90"/>
      <c r="F224" s="90"/>
      <c r="G224" s="90"/>
      <c r="H224" s="90"/>
      <c r="I224" s="524"/>
      <c r="J224" s="524"/>
      <c r="K224" s="524"/>
      <c r="L224" s="524"/>
      <c r="M224" s="524"/>
      <c r="N224" s="539" t="e">
        <f>+#REF!</f>
        <v>#REF!</v>
      </c>
      <c r="O224" s="539"/>
      <c r="P224" s="538"/>
      <c r="Q224" s="538"/>
      <c r="S224" s="542"/>
    </row>
    <row r="225" spans="1:19" x14ac:dyDescent="0.25">
      <c r="A225" s="621"/>
      <c r="B225" s="90"/>
      <c r="C225" s="90"/>
      <c r="D225" s="90"/>
      <c r="E225" s="90"/>
      <c r="F225" s="90"/>
      <c r="G225" s="90"/>
      <c r="H225" s="90"/>
      <c r="I225" s="524"/>
      <c r="J225" s="524"/>
      <c r="K225" s="524"/>
      <c r="L225" s="524"/>
      <c r="M225" s="524"/>
      <c r="N225" s="539"/>
      <c r="O225" s="539"/>
      <c r="P225" s="538"/>
      <c r="Q225" s="538"/>
      <c r="S225" s="542"/>
    </row>
    <row r="226" spans="1:19" ht="13.8" thickBot="1" x14ac:dyDescent="0.3">
      <c r="A226" s="524"/>
      <c r="B226" s="1132" t="s">
        <v>343</v>
      </c>
      <c r="C226" s="1133"/>
      <c r="D226" s="1132" t="s">
        <v>364</v>
      </c>
      <c r="E226" s="1137"/>
      <c r="F226" s="1137"/>
      <c r="G226" s="1137"/>
      <c r="H226" s="1137"/>
      <c r="I226" s="1133"/>
      <c r="J226" s="1138" t="s">
        <v>360</v>
      </c>
      <c r="K226" s="1139"/>
      <c r="L226" s="578" t="s">
        <v>342</v>
      </c>
      <c r="M226" s="578" t="s">
        <v>341</v>
      </c>
      <c r="N226" s="578" t="s">
        <v>312</v>
      </c>
      <c r="O226" s="591"/>
      <c r="P226" s="591"/>
      <c r="Q226" s="591"/>
    </row>
    <row r="227" spans="1:19" ht="13.8" thickTop="1" x14ac:dyDescent="0.25">
      <c r="A227" s="524"/>
      <c r="B227" s="519">
        <v>1</v>
      </c>
      <c r="C227" s="518"/>
      <c r="D227" s="519"/>
      <c r="E227" s="518"/>
      <c r="F227" s="518"/>
      <c r="G227" s="518"/>
      <c r="H227" s="518"/>
      <c r="I227" s="517"/>
      <c r="J227" s="517"/>
      <c r="K227" s="517"/>
      <c r="L227" s="530"/>
      <c r="M227" s="530"/>
      <c r="N227" s="530"/>
      <c r="O227" s="505"/>
      <c r="P227" s="505"/>
      <c r="Q227" s="505"/>
    </row>
    <row r="228" spans="1:19" ht="13.8" thickBot="1" x14ac:dyDescent="0.3">
      <c r="A228" s="524"/>
      <c r="B228" s="516">
        <f>+B227+1</f>
        <v>2</v>
      </c>
      <c r="C228" s="515"/>
      <c r="D228" s="516"/>
      <c r="E228" s="515"/>
      <c r="F228" s="515"/>
      <c r="G228" s="515"/>
      <c r="H228" s="515"/>
      <c r="I228" s="514"/>
      <c r="J228" s="514"/>
      <c r="K228" s="514"/>
      <c r="L228" s="528"/>
      <c r="M228" s="528"/>
      <c r="N228" s="528"/>
      <c r="O228" s="505"/>
      <c r="P228" s="505"/>
      <c r="Q228" s="505"/>
    </row>
    <row r="229" spans="1:19" ht="13.8" thickTop="1" x14ac:dyDescent="0.25">
      <c r="A229" s="524"/>
      <c r="B229" s="585"/>
      <c r="C229" s="586"/>
      <c r="D229" s="587"/>
      <c r="E229" s="586"/>
      <c r="F229" s="586"/>
      <c r="G229" s="586"/>
      <c r="H229" s="586"/>
      <c r="I229" s="588"/>
      <c r="J229" s="588"/>
      <c r="K229" s="588"/>
      <c r="L229" s="589"/>
      <c r="M229" s="589"/>
      <c r="N229" s="589"/>
      <c r="O229" s="592"/>
      <c r="P229" s="592"/>
      <c r="Q229" s="592"/>
    </row>
    <row r="230" spans="1:19" x14ac:dyDescent="0.25">
      <c r="A230" s="524"/>
      <c r="B230" s="527"/>
      <c r="C230" s="505"/>
      <c r="D230" s="505"/>
      <c r="E230" s="505"/>
      <c r="F230" s="505"/>
      <c r="G230" s="505"/>
      <c r="H230" s="505"/>
      <c r="I230" s="505"/>
      <c r="J230" s="505"/>
      <c r="K230" s="505"/>
      <c r="L230" s="505"/>
      <c r="M230" s="505"/>
      <c r="N230" s="505"/>
      <c r="O230" s="505"/>
      <c r="P230" s="505"/>
      <c r="Q230" s="505"/>
    </row>
    <row r="231" spans="1:19" x14ac:dyDescent="0.25">
      <c r="A231" s="524"/>
      <c r="B231" s="526" t="e">
        <f>+#REF!</f>
        <v>#REF!</v>
      </c>
      <c r="C231" s="505"/>
      <c r="D231" s="505"/>
      <c r="E231" s="505"/>
      <c r="F231" s="505"/>
      <c r="G231" s="505"/>
      <c r="H231" s="505"/>
      <c r="I231" s="505"/>
      <c r="J231" s="505"/>
      <c r="K231" s="505"/>
      <c r="L231" s="505"/>
      <c r="M231" s="505"/>
      <c r="N231" s="505"/>
      <c r="O231" s="505"/>
      <c r="P231" s="505"/>
      <c r="Q231" s="505"/>
    </row>
    <row r="232" spans="1:19" x14ac:dyDescent="0.25">
      <c r="A232" s="524"/>
      <c r="B232" s="638" t="s">
        <v>362</v>
      </c>
      <c r="C232" s="505" t="e">
        <f>+#REF!</f>
        <v>#REF!</v>
      </c>
      <c r="D232" s="505"/>
      <c r="E232" s="505"/>
      <c r="F232" s="505"/>
      <c r="G232" s="505"/>
      <c r="H232" s="505"/>
      <c r="I232" s="505"/>
      <c r="J232" s="505"/>
      <c r="K232" s="505"/>
      <c r="L232" s="505"/>
      <c r="M232" s="505"/>
      <c r="N232" s="505" t="e">
        <f>+#REF!</f>
        <v>#REF!</v>
      </c>
      <c r="O232" s="505"/>
      <c r="P232" s="505"/>
      <c r="Q232" s="505"/>
    </row>
    <row r="233" spans="1:19" x14ac:dyDescent="0.25">
      <c r="A233" s="524"/>
      <c r="B233" s="527"/>
      <c r="C233" s="505" t="e">
        <f>+#REF!</f>
        <v>#REF!</v>
      </c>
      <c r="D233" s="505"/>
      <c r="E233" s="505"/>
      <c r="F233" s="505"/>
      <c r="G233" s="505"/>
      <c r="H233" s="505"/>
      <c r="I233" s="505"/>
      <c r="J233" s="505"/>
      <c r="K233" s="505"/>
      <c r="L233" s="505"/>
      <c r="M233" s="505"/>
      <c r="N233" s="505" t="e">
        <f>+#REF!</f>
        <v>#REF!</v>
      </c>
      <c r="O233" s="505"/>
      <c r="P233" s="505"/>
      <c r="Q233" s="505"/>
    </row>
    <row r="234" spans="1:19" x14ac:dyDescent="0.25">
      <c r="A234" s="524"/>
      <c r="B234" s="527"/>
      <c r="C234" s="505" t="e">
        <f>+#REF!</f>
        <v>#REF!</v>
      </c>
      <c r="D234" s="505"/>
      <c r="E234" s="505"/>
      <c r="F234" s="505"/>
      <c r="G234" s="505"/>
      <c r="H234" s="505"/>
      <c r="I234" s="505"/>
      <c r="J234" s="505"/>
      <c r="K234" s="505"/>
      <c r="L234" s="505"/>
      <c r="M234" s="505"/>
      <c r="N234" s="505" t="e">
        <f>+#REF!</f>
        <v>#REF!</v>
      </c>
      <c r="O234" s="505"/>
      <c r="P234" s="505"/>
      <c r="Q234" s="505"/>
    </row>
    <row r="235" spans="1:19" x14ac:dyDescent="0.25">
      <c r="A235" s="524"/>
      <c r="B235" s="527"/>
      <c r="C235" s="505" t="e">
        <f>+#REF!</f>
        <v>#REF!</v>
      </c>
      <c r="D235" s="505"/>
      <c r="E235" s="505"/>
      <c r="F235" s="505"/>
      <c r="G235" s="505"/>
      <c r="H235" s="505"/>
      <c r="I235" s="505"/>
      <c r="J235" s="505"/>
      <c r="K235" s="505"/>
      <c r="L235" s="505"/>
      <c r="M235" s="505"/>
      <c r="N235" s="505" t="e">
        <f>+#REF!</f>
        <v>#REF!</v>
      </c>
      <c r="O235" s="505"/>
      <c r="P235" s="505"/>
      <c r="Q235" s="505"/>
    </row>
    <row r="236" spans="1:19" x14ac:dyDescent="0.25">
      <c r="A236" s="524"/>
      <c r="B236" s="527"/>
      <c r="C236" s="505" t="e">
        <f>+#REF!</f>
        <v>#REF!</v>
      </c>
      <c r="D236" s="505"/>
      <c r="E236" s="505"/>
      <c r="F236" s="505"/>
      <c r="G236" s="505"/>
      <c r="H236" s="505"/>
      <c r="I236" s="505"/>
      <c r="J236" s="505"/>
      <c r="K236" s="505"/>
      <c r="L236" s="505"/>
      <c r="M236" s="505"/>
      <c r="N236" s="505" t="e">
        <f>+#REF!</f>
        <v>#REF!</v>
      </c>
      <c r="O236" s="505"/>
      <c r="P236" s="505"/>
      <c r="Q236" s="505"/>
    </row>
    <row r="237" spans="1:19" x14ac:dyDescent="0.25">
      <c r="A237" s="621"/>
      <c r="B237" s="90"/>
      <c r="C237" s="90"/>
      <c r="D237" s="90"/>
      <c r="E237" s="90"/>
      <c r="F237" s="90"/>
      <c r="G237" s="90"/>
      <c r="H237" s="90"/>
      <c r="I237" s="524"/>
      <c r="J237" s="524"/>
      <c r="K237" s="524"/>
      <c r="L237" s="524"/>
      <c r="M237" s="218"/>
      <c r="N237" s="539"/>
      <c r="O237" s="538"/>
      <c r="P237" s="538"/>
      <c r="Q237" s="538"/>
      <c r="S237" s="542">
        <f>+'[11]Pagu SDA'!AD245</f>
        <v>2700000</v>
      </c>
    </row>
    <row r="238" spans="1:19" ht="13.8" thickBot="1" x14ac:dyDescent="0.3">
      <c r="A238" s="524"/>
      <c r="B238" s="1132" t="s">
        <v>343</v>
      </c>
      <c r="C238" s="1133"/>
      <c r="D238" s="1132" t="s">
        <v>347</v>
      </c>
      <c r="E238" s="1134"/>
      <c r="F238" s="1134"/>
      <c r="G238" s="1134"/>
      <c r="H238" s="1134"/>
      <c r="I238" s="1135"/>
      <c r="J238" s="1138" t="s">
        <v>360</v>
      </c>
      <c r="K238" s="1139"/>
      <c r="L238" s="578" t="s">
        <v>342</v>
      </c>
      <c r="M238" s="578" t="s">
        <v>341</v>
      </c>
      <c r="N238" s="578" t="s">
        <v>312</v>
      </c>
      <c r="O238" s="591"/>
      <c r="P238" s="591"/>
      <c r="Q238" s="591"/>
    </row>
    <row r="239" spans="1:19" ht="13.8" thickTop="1" x14ac:dyDescent="0.25">
      <c r="A239" s="524"/>
      <c r="B239" s="519">
        <v>1</v>
      </c>
      <c r="C239" s="518"/>
      <c r="D239" s="519"/>
      <c r="E239" s="518"/>
      <c r="F239" s="518"/>
      <c r="G239" s="518"/>
      <c r="H239" s="518"/>
      <c r="I239" s="517"/>
      <c r="J239" s="517"/>
      <c r="K239" s="517"/>
      <c r="L239" s="530"/>
      <c r="M239" s="530"/>
      <c r="N239" s="530"/>
      <c r="O239" s="505"/>
      <c r="P239" s="505"/>
      <c r="Q239" s="505"/>
    </row>
    <row r="240" spans="1:19" ht="13.8" thickBot="1" x14ac:dyDescent="0.3">
      <c r="A240" s="524"/>
      <c r="B240" s="516">
        <f>+B239+1</f>
        <v>2</v>
      </c>
      <c r="C240" s="515"/>
      <c r="D240" s="516"/>
      <c r="E240" s="515"/>
      <c r="F240" s="515"/>
      <c r="G240" s="515"/>
      <c r="H240" s="515"/>
      <c r="I240" s="514"/>
      <c r="J240" s="514"/>
      <c r="K240" s="514"/>
      <c r="L240" s="528"/>
      <c r="M240" s="528"/>
      <c r="N240" s="528"/>
      <c r="O240" s="505"/>
      <c r="P240" s="505"/>
      <c r="Q240" s="505"/>
    </row>
    <row r="241" spans="1:19" ht="13.8" thickTop="1" x14ac:dyDescent="0.25">
      <c r="A241" s="524"/>
      <c r="B241" s="585"/>
      <c r="C241" s="586"/>
      <c r="D241" s="587" t="s">
        <v>171</v>
      </c>
      <c r="E241" s="586"/>
      <c r="F241" s="586"/>
      <c r="G241" s="586"/>
      <c r="H241" s="586"/>
      <c r="I241" s="588"/>
      <c r="J241" s="588"/>
      <c r="K241" s="588"/>
      <c r="L241" s="589">
        <f>SUM(L239:L240)</f>
        <v>0</v>
      </c>
      <c r="M241" s="589"/>
      <c r="N241" s="589">
        <f>+N237-L241</f>
        <v>0</v>
      </c>
      <c r="O241" s="592"/>
      <c r="P241" s="592"/>
      <c r="Q241" s="592"/>
    </row>
    <row r="242" spans="1:19" x14ac:dyDescent="0.25">
      <c r="A242" s="524"/>
      <c r="B242" s="527"/>
      <c r="C242" s="505"/>
      <c r="D242" s="505"/>
      <c r="E242" s="505"/>
      <c r="F242" s="505"/>
      <c r="G242" s="505"/>
      <c r="H242" s="505"/>
      <c r="I242" s="505"/>
      <c r="J242" s="505"/>
      <c r="K242" s="505"/>
      <c r="L242" s="505"/>
      <c r="M242" s="505"/>
      <c r="N242" s="505"/>
      <c r="O242" s="505"/>
      <c r="P242" s="505"/>
      <c r="Q242" s="505"/>
    </row>
    <row r="243" spans="1:19" x14ac:dyDescent="0.25">
      <c r="A243" s="524"/>
      <c r="B243" s="526" t="e">
        <f>+#REF!</f>
        <v>#REF!</v>
      </c>
      <c r="C243" s="505"/>
      <c r="D243" s="505"/>
      <c r="E243" s="505"/>
      <c r="F243" s="505"/>
      <c r="G243" s="505"/>
      <c r="H243" s="505"/>
      <c r="I243" s="505"/>
      <c r="J243" s="505"/>
      <c r="K243" s="505"/>
      <c r="L243" s="505"/>
      <c r="M243" s="505"/>
      <c r="N243" s="505" t="e">
        <f>+#REF!</f>
        <v>#REF!</v>
      </c>
      <c r="O243" s="505"/>
      <c r="P243" s="505"/>
      <c r="Q243" s="505"/>
    </row>
    <row r="244" spans="1:19" x14ac:dyDescent="0.25">
      <c r="B244" s="526" t="e">
        <f>+#REF!</f>
        <v>#REF!</v>
      </c>
      <c r="C244" s="505" t="e">
        <f>+#REF!</f>
        <v>#REF!</v>
      </c>
      <c r="D244" s="505"/>
      <c r="E244" s="505"/>
      <c r="F244" s="505"/>
      <c r="G244" s="505"/>
      <c r="H244" s="505"/>
      <c r="I244" s="505"/>
      <c r="J244" s="505"/>
      <c r="K244" s="505"/>
      <c r="L244" s="505"/>
      <c r="M244" s="505"/>
      <c r="N244" s="505" t="e">
        <f>+#REF!</f>
        <v>#REF!</v>
      </c>
      <c r="O244" s="155"/>
      <c r="P244" s="155"/>
      <c r="Q244" s="155"/>
    </row>
    <row r="245" spans="1:19" x14ac:dyDescent="0.25">
      <c r="A245" s="612"/>
      <c r="B245" s="638" t="s">
        <v>362</v>
      </c>
      <c r="C245" s="505" t="e">
        <f>+#REF!</f>
        <v>#REF!</v>
      </c>
      <c r="D245" s="505"/>
      <c r="E245" s="505"/>
      <c r="F245" s="505"/>
      <c r="G245" s="505"/>
      <c r="H245" s="505"/>
      <c r="I245" s="505"/>
      <c r="J245" s="505"/>
      <c r="K245" s="505"/>
      <c r="L245" s="505"/>
      <c r="M245" s="505"/>
      <c r="N245" s="505" t="e">
        <f>+#REF!</f>
        <v>#REF!</v>
      </c>
      <c r="O245" s="539"/>
      <c r="P245" s="581"/>
      <c r="Q245" s="581"/>
      <c r="S245" s="549">
        <f>+'[11]Pagu SDA'!AD250</f>
        <v>184387600</v>
      </c>
    </row>
    <row r="246" spans="1:19" x14ac:dyDescent="0.25">
      <c r="A246" s="533"/>
      <c r="B246" s="527"/>
      <c r="C246" s="505" t="e">
        <f>+#REF!</f>
        <v>#REF!</v>
      </c>
      <c r="D246" s="505"/>
      <c r="E246" s="505"/>
      <c r="F246" s="505"/>
      <c r="G246" s="505"/>
      <c r="H246" s="505"/>
      <c r="I246" s="505"/>
      <c r="J246" s="505"/>
      <c r="K246" s="505"/>
      <c r="L246" s="505"/>
      <c r="M246" s="505"/>
      <c r="N246" s="505" t="e">
        <f>+#REF!</f>
        <v>#REF!</v>
      </c>
      <c r="O246" s="205"/>
      <c r="P246" s="582"/>
      <c r="Q246" s="582"/>
      <c r="S246" s="525" t="e">
        <f>+S245-N245</f>
        <v>#REF!</v>
      </c>
    </row>
    <row r="247" spans="1:19" x14ac:dyDescent="0.25">
      <c r="A247" s="533"/>
      <c r="B247" s="527"/>
      <c r="C247" s="505" t="e">
        <f>+#REF!</f>
        <v>#REF!</v>
      </c>
      <c r="D247" s="505"/>
      <c r="E247" s="505"/>
      <c r="F247" s="505"/>
      <c r="G247" s="505"/>
      <c r="H247" s="505"/>
      <c r="I247" s="505"/>
      <c r="J247" s="505"/>
      <c r="K247" s="505"/>
      <c r="L247" s="505"/>
      <c r="M247" s="505"/>
      <c r="N247" s="505" t="e">
        <f>+#REF!</f>
        <v>#REF!</v>
      </c>
      <c r="O247" s="205"/>
      <c r="P247" s="582"/>
      <c r="Q247" s="582"/>
      <c r="S247" s="525"/>
    </row>
    <row r="248" spans="1:19" x14ac:dyDescent="0.25">
      <c r="A248" s="533"/>
      <c r="B248" s="527"/>
      <c r="C248" s="505" t="e">
        <f>+#REF!</f>
        <v>#REF!</v>
      </c>
      <c r="D248" s="505"/>
      <c r="E248" s="505"/>
      <c r="F248" s="505"/>
      <c r="G248" s="505"/>
      <c r="H248" s="505"/>
      <c r="I248" s="505"/>
      <c r="J248" s="505"/>
      <c r="K248" s="505"/>
      <c r="L248" s="505"/>
      <c r="M248" s="505"/>
      <c r="N248" s="505" t="e">
        <f>+#REF!</f>
        <v>#REF!</v>
      </c>
      <c r="O248" s="205"/>
      <c r="P248" s="582"/>
      <c r="Q248" s="582"/>
      <c r="S248" s="525"/>
    </row>
    <row r="249" spans="1:19" x14ac:dyDescent="0.25">
      <c r="A249" s="533"/>
      <c r="B249" s="527"/>
      <c r="C249" s="505" t="e">
        <f>+#REF!</f>
        <v>#REF!</v>
      </c>
      <c r="D249" s="505"/>
      <c r="E249" s="505"/>
      <c r="F249" s="505"/>
      <c r="G249" s="505"/>
      <c r="H249" s="505"/>
      <c r="I249" s="505"/>
      <c r="J249" s="505"/>
      <c r="K249" s="505"/>
      <c r="L249" s="505"/>
      <c r="M249" s="505"/>
      <c r="N249" s="505" t="e">
        <f>+#REF!</f>
        <v>#REF!</v>
      </c>
      <c r="O249" s="205"/>
      <c r="P249" s="582"/>
      <c r="Q249" s="582"/>
      <c r="S249" s="525"/>
    </row>
    <row r="250" spans="1:19" x14ac:dyDescent="0.25">
      <c r="A250" s="533"/>
      <c r="B250" s="527"/>
      <c r="C250" s="505" t="e">
        <f>+#REF!</f>
        <v>#REF!</v>
      </c>
      <c r="D250" s="505"/>
      <c r="E250" s="505"/>
      <c r="F250" s="505"/>
      <c r="G250" s="505"/>
      <c r="H250" s="505"/>
      <c r="I250" s="505"/>
      <c r="J250" s="505"/>
      <c r="K250" s="505"/>
      <c r="L250" s="505"/>
      <c r="M250" s="505"/>
      <c r="N250" s="505" t="e">
        <f>+#REF!</f>
        <v>#REF!</v>
      </c>
      <c r="O250" s="205"/>
      <c r="P250" s="582"/>
      <c r="Q250" s="582"/>
      <c r="S250" s="525"/>
    </row>
    <row r="251" spans="1:19" x14ac:dyDescent="0.25">
      <c r="A251" s="533"/>
      <c r="B251" s="527"/>
      <c r="C251" s="505" t="e">
        <f>+#REF!</f>
        <v>#REF!</v>
      </c>
      <c r="D251" s="505"/>
      <c r="E251" s="505"/>
      <c r="F251" s="505"/>
      <c r="G251" s="505"/>
      <c r="H251" s="505"/>
      <c r="I251" s="505"/>
      <c r="J251" s="505"/>
      <c r="K251" s="505"/>
      <c r="L251" s="505"/>
      <c r="M251" s="505"/>
      <c r="N251" s="505" t="e">
        <f>+#REF!</f>
        <v>#REF!</v>
      </c>
      <c r="O251" s="205"/>
      <c r="P251" s="582"/>
      <c r="Q251" s="582"/>
      <c r="S251" s="525"/>
    </row>
    <row r="252" spans="1:19" x14ac:dyDescent="0.25">
      <c r="A252" s="533"/>
      <c r="B252" s="527"/>
      <c r="C252" s="505" t="e">
        <f>+#REF!</f>
        <v>#REF!</v>
      </c>
      <c r="D252" s="505"/>
      <c r="E252" s="505"/>
      <c r="F252" s="505"/>
      <c r="G252" s="505"/>
      <c r="H252" s="505"/>
      <c r="I252" s="505"/>
      <c r="J252" s="505"/>
      <c r="K252" s="505"/>
      <c r="L252" s="505"/>
      <c r="M252" s="505"/>
      <c r="N252" s="505" t="e">
        <f>+#REF!</f>
        <v>#REF!</v>
      </c>
      <c r="O252" s="205"/>
      <c r="P252" s="582"/>
      <c r="Q252" s="582"/>
      <c r="S252" s="525"/>
    </row>
    <row r="253" spans="1:19" x14ac:dyDescent="0.25">
      <c r="A253" s="533"/>
      <c r="B253" s="527"/>
      <c r="C253" s="505" t="e">
        <f>+#REF!</f>
        <v>#REF!</v>
      </c>
      <c r="D253" s="505"/>
      <c r="E253" s="505"/>
      <c r="F253" s="505"/>
      <c r="G253" s="505"/>
      <c r="H253" s="505"/>
      <c r="I253" s="505"/>
      <c r="J253" s="505"/>
      <c r="K253" s="505"/>
      <c r="L253" s="505"/>
      <c r="M253" s="505"/>
      <c r="N253" s="505" t="e">
        <f>+#REF!</f>
        <v>#REF!</v>
      </c>
      <c r="O253" s="205"/>
      <c r="P253" s="582"/>
      <c r="Q253" s="582"/>
      <c r="S253" s="525"/>
    </row>
    <row r="254" spans="1:19" x14ac:dyDescent="0.25">
      <c r="A254" s="533"/>
      <c r="B254" s="527"/>
      <c r="C254" s="505" t="e">
        <f>+#REF!</f>
        <v>#REF!</v>
      </c>
      <c r="D254" s="505"/>
      <c r="E254" s="505"/>
      <c r="F254" s="505"/>
      <c r="G254" s="505"/>
      <c r="H254" s="505"/>
      <c r="I254" s="505"/>
      <c r="J254" s="505"/>
      <c r="K254" s="505"/>
      <c r="L254" s="505"/>
      <c r="M254" s="505"/>
      <c r="N254" s="505" t="e">
        <f>+#REF!</f>
        <v>#REF!</v>
      </c>
      <c r="O254" s="205"/>
      <c r="P254" s="582"/>
      <c r="Q254" s="582"/>
      <c r="S254" s="525"/>
    </row>
    <row r="255" spans="1:19" x14ac:dyDescent="0.25">
      <c r="A255" s="533"/>
      <c r="B255" s="527"/>
      <c r="C255" s="505" t="e">
        <f>+#REF!</f>
        <v>#REF!</v>
      </c>
      <c r="D255" s="505"/>
      <c r="E255" s="505"/>
      <c r="F255" s="505"/>
      <c r="G255" s="505"/>
      <c r="H255" s="505"/>
      <c r="I255" s="505"/>
      <c r="J255" s="505"/>
      <c r="K255" s="505"/>
      <c r="L255" s="505"/>
      <c r="M255" s="505"/>
      <c r="N255" s="505" t="e">
        <f>+#REF!</f>
        <v>#REF!</v>
      </c>
      <c r="O255" s="205"/>
      <c r="P255" s="582"/>
      <c r="Q255" s="582"/>
      <c r="S255" s="525"/>
    </row>
    <row r="256" spans="1:19" x14ac:dyDescent="0.25">
      <c r="A256" s="533"/>
      <c r="B256" s="527"/>
      <c r="C256" s="505" t="e">
        <f>+#REF!</f>
        <v>#REF!</v>
      </c>
      <c r="D256" s="505"/>
      <c r="E256" s="505"/>
      <c r="F256" s="505"/>
      <c r="G256" s="505"/>
      <c r="H256" s="505"/>
      <c r="I256" s="505"/>
      <c r="J256" s="505"/>
      <c r="K256" s="505"/>
      <c r="L256" s="505"/>
      <c r="M256" s="505"/>
      <c r="N256" s="505" t="e">
        <f>+#REF!</f>
        <v>#REF!</v>
      </c>
      <c r="O256" s="205"/>
      <c r="P256" s="582"/>
      <c r="Q256" s="582"/>
      <c r="S256" s="525"/>
    </row>
    <row r="257" spans="1:19" x14ac:dyDescent="0.25">
      <c r="A257" s="533"/>
      <c r="B257" s="527"/>
      <c r="C257" s="505" t="e">
        <f>+#REF!</f>
        <v>#REF!</v>
      </c>
      <c r="D257" s="505"/>
      <c r="E257" s="505"/>
      <c r="F257" s="505"/>
      <c r="G257" s="505"/>
      <c r="H257" s="505"/>
      <c r="I257" s="505"/>
      <c r="J257" s="505"/>
      <c r="K257" s="505"/>
      <c r="L257" s="505"/>
      <c r="M257" s="505"/>
      <c r="N257" s="505" t="e">
        <f>+#REF!</f>
        <v>#REF!</v>
      </c>
      <c r="O257" s="205"/>
      <c r="P257" s="582"/>
      <c r="Q257" s="582"/>
      <c r="S257" s="525"/>
    </row>
    <row r="258" spans="1:19" x14ac:dyDescent="0.25">
      <c r="A258" s="533"/>
      <c r="B258" s="527"/>
      <c r="C258" s="505" t="e">
        <f>+#REF!</f>
        <v>#REF!</v>
      </c>
      <c r="D258" s="505"/>
      <c r="E258" s="505"/>
      <c r="F258" s="505"/>
      <c r="G258" s="505"/>
      <c r="H258" s="505"/>
      <c r="I258" s="505"/>
      <c r="J258" s="505"/>
      <c r="K258" s="505"/>
      <c r="L258" s="505"/>
      <c r="M258" s="505"/>
      <c r="N258" s="505" t="e">
        <f>+#REF!</f>
        <v>#REF!</v>
      </c>
      <c r="O258" s="205"/>
      <c r="P258" s="582"/>
      <c r="Q258" s="582"/>
      <c r="S258" s="525"/>
    </row>
    <row r="259" spans="1:19" x14ac:dyDescent="0.25">
      <c r="A259" s="533"/>
      <c r="B259" s="527"/>
      <c r="C259" s="505" t="e">
        <f>+#REF!</f>
        <v>#REF!</v>
      </c>
      <c r="D259" s="505"/>
      <c r="E259" s="505"/>
      <c r="F259" s="505"/>
      <c r="G259" s="505"/>
      <c r="H259" s="505"/>
      <c r="I259" s="505"/>
      <c r="J259" s="505"/>
      <c r="K259" s="505"/>
      <c r="L259" s="505"/>
      <c r="M259" s="505"/>
      <c r="N259" s="505" t="e">
        <f>+#REF!</f>
        <v>#REF!</v>
      </c>
      <c r="O259" s="205"/>
      <c r="P259" s="582"/>
      <c r="Q259" s="582"/>
      <c r="S259" s="525"/>
    </row>
    <row r="260" spans="1:19" x14ac:dyDescent="0.25">
      <c r="A260" s="533"/>
      <c r="B260" s="536"/>
      <c r="C260" s="90"/>
      <c r="D260" s="90"/>
      <c r="E260" s="90"/>
      <c r="F260" s="90"/>
      <c r="G260" s="90"/>
      <c r="H260" s="90"/>
      <c r="I260" s="524"/>
      <c r="J260" s="524"/>
      <c r="K260" s="524"/>
      <c r="L260" s="524"/>
      <c r="M260" s="524"/>
      <c r="N260" s="505" t="e">
        <f>+#REF!</f>
        <v>#REF!</v>
      </c>
      <c r="O260" s="205"/>
      <c r="P260" s="582"/>
      <c r="Q260" s="582"/>
      <c r="S260" s="525"/>
    </row>
    <row r="261" spans="1:19" ht="13.8" thickBot="1" x14ac:dyDescent="0.3">
      <c r="A261" s="533"/>
      <c r="B261" s="1132" t="s">
        <v>343</v>
      </c>
      <c r="C261" s="1133"/>
      <c r="D261" s="1132" t="s">
        <v>347</v>
      </c>
      <c r="E261" s="1137"/>
      <c r="F261" s="1137"/>
      <c r="G261" s="1137"/>
      <c r="H261" s="1137"/>
      <c r="I261" s="1133"/>
      <c r="J261" s="1138" t="s">
        <v>360</v>
      </c>
      <c r="K261" s="1139"/>
      <c r="L261" s="578" t="s">
        <v>342</v>
      </c>
      <c r="M261" s="578" t="s">
        <v>341</v>
      </c>
      <c r="N261" s="578" t="s">
        <v>312</v>
      </c>
      <c r="O261" s="591"/>
      <c r="P261" s="591"/>
      <c r="Q261" s="591"/>
    </row>
    <row r="262" spans="1:19" ht="13.8" thickTop="1" x14ac:dyDescent="0.25">
      <c r="A262" s="533"/>
      <c r="B262" s="519">
        <v>1</v>
      </c>
      <c r="C262" s="518"/>
      <c r="D262" s="519"/>
      <c r="E262" s="518"/>
      <c r="F262" s="518"/>
      <c r="G262" s="518"/>
      <c r="H262" s="518"/>
      <c r="I262" s="517"/>
      <c r="J262" s="517"/>
      <c r="K262" s="517"/>
      <c r="L262" s="530"/>
      <c r="M262" s="530"/>
      <c r="N262" s="530"/>
      <c r="O262" s="505"/>
      <c r="P262" s="505"/>
      <c r="Q262" s="505"/>
    </row>
    <row r="263" spans="1:19" x14ac:dyDescent="0.25">
      <c r="A263" s="533"/>
      <c r="B263" s="516">
        <f>1+B262</f>
        <v>2</v>
      </c>
      <c r="C263" s="515"/>
      <c r="D263" s="516"/>
      <c r="E263" s="515"/>
      <c r="F263" s="515"/>
      <c r="G263" s="515"/>
      <c r="H263" s="515"/>
      <c r="I263" s="514"/>
      <c r="J263" s="514"/>
      <c r="K263" s="514"/>
      <c r="L263" s="528"/>
      <c r="M263" s="528"/>
      <c r="N263" s="528"/>
      <c r="O263" s="505"/>
      <c r="P263" s="505"/>
      <c r="Q263" s="505"/>
    </row>
    <row r="264" spans="1:19" x14ac:dyDescent="0.25">
      <c r="A264" s="524"/>
      <c r="B264" s="516">
        <f>1+B263</f>
        <v>3</v>
      </c>
      <c r="C264" s="515"/>
      <c r="D264" s="516"/>
      <c r="E264" s="515"/>
      <c r="F264" s="515"/>
      <c r="G264" s="515"/>
      <c r="H264" s="515"/>
      <c r="I264" s="514"/>
      <c r="J264" s="514"/>
      <c r="K264" s="514"/>
      <c r="L264" s="528"/>
      <c r="M264" s="528"/>
      <c r="N264" s="528"/>
      <c r="O264" s="505"/>
      <c r="P264" s="505"/>
      <c r="Q264" s="505"/>
    </row>
    <row r="265" spans="1:19" ht="13.8" thickBot="1" x14ac:dyDescent="0.3">
      <c r="A265" s="524"/>
      <c r="B265" s="516">
        <f>1+B264</f>
        <v>4</v>
      </c>
      <c r="C265" s="515"/>
      <c r="D265" s="516"/>
      <c r="E265" s="515"/>
      <c r="F265" s="515"/>
      <c r="G265" s="515"/>
      <c r="H265" s="515"/>
      <c r="I265" s="514"/>
      <c r="J265" s="514"/>
      <c r="K265" s="514"/>
      <c r="L265" s="528"/>
      <c r="M265" s="528"/>
      <c r="N265" s="528"/>
      <c r="O265" s="505"/>
      <c r="P265" s="505"/>
      <c r="Q265" s="505"/>
    </row>
    <row r="266" spans="1:19" ht="13.8" thickTop="1" x14ac:dyDescent="0.25">
      <c r="A266" s="524"/>
      <c r="B266" s="585"/>
      <c r="C266" s="586"/>
      <c r="D266" s="587" t="s">
        <v>171</v>
      </c>
      <c r="E266" s="586"/>
      <c r="F266" s="586"/>
      <c r="G266" s="586"/>
      <c r="H266" s="586"/>
      <c r="I266" s="588"/>
      <c r="J266" s="588"/>
      <c r="K266" s="588"/>
      <c r="L266" s="589">
        <f>SUM(L262:L265)</f>
        <v>0</v>
      </c>
      <c r="M266" s="589"/>
      <c r="N266" s="589"/>
      <c r="O266" s="592"/>
      <c r="P266" s="592"/>
      <c r="Q266" s="592"/>
    </row>
    <row r="267" spans="1:19" x14ac:dyDescent="0.25">
      <c r="A267" s="524"/>
      <c r="B267" s="527"/>
      <c r="C267" s="505"/>
      <c r="D267" s="505"/>
      <c r="E267" s="505"/>
      <c r="F267" s="505"/>
      <c r="G267" s="505"/>
      <c r="H267" s="505"/>
      <c r="I267" s="505"/>
      <c r="J267" s="505"/>
      <c r="K267" s="505"/>
      <c r="L267" s="505"/>
      <c r="M267" s="505"/>
      <c r="N267" s="505"/>
      <c r="O267" s="505"/>
      <c r="P267" s="505"/>
      <c r="Q267" s="505"/>
    </row>
    <row r="268" spans="1:19" x14ac:dyDescent="0.25">
      <c r="A268" s="524"/>
      <c r="B268" s="536" t="e">
        <f>+#REF!</f>
        <v>#REF!</v>
      </c>
      <c r="C268" s="90"/>
      <c r="D268" s="90"/>
      <c r="E268" s="90"/>
      <c r="F268" s="90"/>
      <c r="G268" s="90"/>
      <c r="H268" s="90"/>
      <c r="I268" s="524"/>
      <c r="J268" s="524"/>
      <c r="K268" s="524"/>
      <c r="L268" s="524"/>
      <c r="M268" s="524"/>
      <c r="N268" s="524" t="e">
        <f>+#REF!</f>
        <v>#REF!</v>
      </c>
      <c r="O268" s="205"/>
      <c r="P268" s="582"/>
      <c r="Q268" s="582"/>
    </row>
    <row r="269" spans="1:19" x14ac:dyDescent="0.25">
      <c r="A269" s="524"/>
      <c r="B269" s="536" t="s">
        <v>362</v>
      </c>
      <c r="C269" s="90" t="e">
        <f>+#REF!</f>
        <v>#REF!</v>
      </c>
      <c r="D269" s="90"/>
      <c r="E269" s="90"/>
      <c r="F269" s="90"/>
      <c r="G269" s="90"/>
      <c r="H269" s="90"/>
      <c r="I269" s="524"/>
      <c r="J269" s="524"/>
      <c r="K269" s="524"/>
      <c r="L269" s="524"/>
      <c r="M269" s="524"/>
      <c r="N269" s="524" t="e">
        <f>+#REF!</f>
        <v>#REF!</v>
      </c>
      <c r="O269" s="205"/>
      <c r="P269" s="582"/>
      <c r="Q269" s="582"/>
    </row>
    <row r="270" spans="1:19" x14ac:dyDescent="0.25">
      <c r="A270" s="524"/>
      <c r="B270" s="536"/>
      <c r="C270" s="90" t="e">
        <f>+#REF!</f>
        <v>#REF!</v>
      </c>
      <c r="D270" s="90"/>
      <c r="E270" s="90"/>
      <c r="F270" s="90"/>
      <c r="G270" s="90"/>
      <c r="H270" s="90"/>
      <c r="I270" s="524"/>
      <c r="J270" s="524"/>
      <c r="K270" s="524"/>
      <c r="L270" s="524"/>
      <c r="M270" s="524"/>
      <c r="N270" s="524" t="e">
        <f>+#REF!</f>
        <v>#REF!</v>
      </c>
      <c r="O270" s="205"/>
      <c r="P270" s="582"/>
      <c r="Q270" s="582"/>
    </row>
    <row r="271" spans="1:19" x14ac:dyDescent="0.25">
      <c r="A271" s="524"/>
      <c r="B271" s="536"/>
      <c r="C271" s="90" t="e">
        <f>+#REF!</f>
        <v>#REF!</v>
      </c>
      <c r="D271" s="90"/>
      <c r="E271" s="90"/>
      <c r="F271" s="90"/>
      <c r="G271" s="90"/>
      <c r="H271" s="90"/>
      <c r="I271" s="524"/>
      <c r="J271" s="524"/>
      <c r="K271" s="524"/>
      <c r="L271" s="524"/>
      <c r="M271" s="524"/>
      <c r="N271" s="524" t="e">
        <f>+#REF!</f>
        <v>#REF!</v>
      </c>
      <c r="O271" s="205"/>
      <c r="P271" s="582"/>
      <c r="Q271" s="582"/>
    </row>
    <row r="272" spans="1:19" x14ac:dyDescent="0.25">
      <c r="A272" s="524"/>
      <c r="B272" s="536"/>
      <c r="C272" s="90" t="e">
        <f>+#REF!</f>
        <v>#REF!</v>
      </c>
      <c r="D272" s="90"/>
      <c r="E272" s="90"/>
      <c r="F272" s="90"/>
      <c r="G272" s="90"/>
      <c r="H272" s="90"/>
      <c r="I272" s="524"/>
      <c r="J272" s="524"/>
      <c r="K272" s="524"/>
      <c r="L272" s="524"/>
      <c r="M272" s="524"/>
      <c r="N272" s="524" t="e">
        <f>+#REF!</f>
        <v>#REF!</v>
      </c>
      <c r="O272" s="205"/>
      <c r="P272" s="582"/>
      <c r="Q272" s="582"/>
    </row>
    <row r="273" spans="1:17" x14ac:dyDescent="0.25">
      <c r="A273" s="524"/>
      <c r="B273" s="536"/>
      <c r="C273" s="90" t="e">
        <f>+#REF!</f>
        <v>#REF!</v>
      </c>
      <c r="D273" s="90"/>
      <c r="E273" s="90"/>
      <c r="F273" s="90"/>
      <c r="G273" s="90"/>
      <c r="H273" s="90"/>
      <c r="I273" s="524"/>
      <c r="J273" s="524"/>
      <c r="K273" s="524"/>
      <c r="L273" s="524"/>
      <c r="M273" s="524"/>
      <c r="N273" s="524" t="e">
        <f>+#REF!</f>
        <v>#REF!</v>
      </c>
      <c r="O273" s="205"/>
      <c r="P273" s="582"/>
      <c r="Q273" s="582"/>
    </row>
    <row r="274" spans="1:17" x14ac:dyDescent="0.25">
      <c r="A274" s="524"/>
      <c r="B274" s="536"/>
      <c r="C274" s="90" t="e">
        <f>+#REF!</f>
        <v>#REF!</v>
      </c>
      <c r="D274" s="90"/>
      <c r="E274" s="90"/>
      <c r="F274" s="90"/>
      <c r="G274" s="90"/>
      <c r="H274" s="90"/>
      <c r="I274" s="524"/>
      <c r="J274" s="524"/>
      <c r="K274" s="524"/>
      <c r="L274" s="524"/>
      <c r="M274" s="524"/>
      <c r="N274" s="524" t="e">
        <f>+#REF!</f>
        <v>#REF!</v>
      </c>
      <c r="O274" s="205"/>
      <c r="P274" s="582"/>
      <c r="Q274" s="582"/>
    </row>
    <row r="275" spans="1:17" x14ac:dyDescent="0.25">
      <c r="A275" s="524"/>
      <c r="B275" s="536"/>
      <c r="C275" s="90" t="e">
        <f>+#REF!</f>
        <v>#REF!</v>
      </c>
      <c r="D275" s="90"/>
      <c r="E275" s="90"/>
      <c r="F275" s="90"/>
      <c r="G275" s="90"/>
      <c r="H275" s="90"/>
      <c r="I275" s="524"/>
      <c r="J275" s="524"/>
      <c r="K275" s="524"/>
      <c r="L275" s="524"/>
      <c r="M275" s="524"/>
      <c r="N275" s="524" t="e">
        <f>+#REF!</f>
        <v>#REF!</v>
      </c>
      <c r="O275" s="205"/>
      <c r="P275" s="582"/>
      <c r="Q275" s="582"/>
    </row>
    <row r="276" spans="1:17" x14ac:dyDescent="0.25">
      <c r="A276" s="524"/>
      <c r="B276" s="536"/>
      <c r="C276" s="90" t="e">
        <f>+#REF!</f>
        <v>#REF!</v>
      </c>
      <c r="D276" s="90"/>
      <c r="E276" s="90"/>
      <c r="F276" s="90"/>
      <c r="G276" s="90"/>
      <c r="H276" s="90"/>
      <c r="I276" s="524"/>
      <c r="J276" s="524"/>
      <c r="K276" s="524"/>
      <c r="L276" s="524"/>
      <c r="M276" s="524"/>
      <c r="N276" s="524" t="e">
        <f>+#REF!</f>
        <v>#REF!</v>
      </c>
      <c r="O276" s="205"/>
      <c r="P276" s="582"/>
      <c r="Q276" s="582"/>
    </row>
    <row r="277" spans="1:17" x14ac:dyDescent="0.25">
      <c r="A277" s="524"/>
      <c r="B277" s="536"/>
      <c r="C277" s="90" t="e">
        <f>+#REF!</f>
        <v>#REF!</v>
      </c>
      <c r="D277" s="90"/>
      <c r="E277" s="90"/>
      <c r="F277" s="90"/>
      <c r="G277" s="90"/>
      <c r="H277" s="90"/>
      <c r="I277" s="524"/>
      <c r="J277" s="524"/>
      <c r="K277" s="524"/>
      <c r="L277" s="524"/>
      <c r="M277" s="524"/>
      <c r="N277" s="524" t="e">
        <f>+#REF!</f>
        <v>#REF!</v>
      </c>
      <c r="O277" s="205"/>
      <c r="P277" s="582"/>
      <c r="Q277" s="582"/>
    </row>
    <row r="278" spans="1:17" x14ac:dyDescent="0.25">
      <c r="A278" s="524"/>
      <c r="B278" s="536"/>
      <c r="C278" s="90" t="e">
        <f>+#REF!</f>
        <v>#REF!</v>
      </c>
      <c r="D278" s="90"/>
      <c r="E278" s="90"/>
      <c r="F278" s="90"/>
      <c r="G278" s="90"/>
      <c r="H278" s="90"/>
      <c r="I278" s="524"/>
      <c r="J278" s="524"/>
      <c r="K278" s="524"/>
      <c r="L278" s="524"/>
      <c r="M278" s="524"/>
      <c r="N278" s="524" t="e">
        <f>+#REF!</f>
        <v>#REF!</v>
      </c>
      <c r="O278" s="205"/>
      <c r="P278" s="582"/>
      <c r="Q278" s="582"/>
    </row>
    <row r="279" spans="1:17" x14ac:dyDescent="0.25">
      <c r="A279" s="524"/>
      <c r="B279" s="536"/>
      <c r="C279" s="90" t="e">
        <f>+#REF!</f>
        <v>#REF!</v>
      </c>
      <c r="D279" s="90"/>
      <c r="E279" s="90"/>
      <c r="F279" s="90"/>
      <c r="G279" s="90"/>
      <c r="H279" s="90"/>
      <c r="I279" s="524"/>
      <c r="J279" s="524"/>
      <c r="K279" s="524"/>
      <c r="L279" s="524"/>
      <c r="M279" s="524"/>
      <c r="N279" s="524" t="e">
        <f>+#REF!</f>
        <v>#REF!</v>
      </c>
      <c r="O279" s="205"/>
      <c r="P279" s="582"/>
      <c r="Q279" s="582"/>
    </row>
    <row r="280" spans="1:17" x14ac:dyDescent="0.25">
      <c r="A280" s="524"/>
      <c r="B280" s="536"/>
      <c r="C280" s="90" t="e">
        <f>+#REF!</f>
        <v>#REF!</v>
      </c>
      <c r="D280" s="90"/>
      <c r="E280" s="90"/>
      <c r="F280" s="90"/>
      <c r="G280" s="90"/>
      <c r="H280" s="90"/>
      <c r="I280" s="524"/>
      <c r="J280" s="524"/>
      <c r="K280" s="524"/>
      <c r="L280" s="524"/>
      <c r="M280" s="524"/>
      <c r="N280" s="524" t="e">
        <f>+#REF!</f>
        <v>#REF!</v>
      </c>
      <c r="O280" s="205"/>
      <c r="P280" s="582"/>
      <c r="Q280" s="582"/>
    </row>
    <row r="281" spans="1:17" x14ac:dyDescent="0.25">
      <c r="A281" s="524"/>
      <c r="B281" s="536"/>
      <c r="C281" s="90" t="e">
        <f>+#REF!</f>
        <v>#REF!</v>
      </c>
      <c r="D281" s="90"/>
      <c r="E281" s="90"/>
      <c r="F281" s="90"/>
      <c r="G281" s="90"/>
      <c r="H281" s="90"/>
      <c r="I281" s="524"/>
      <c r="J281" s="524"/>
      <c r="K281" s="524"/>
      <c r="L281" s="524"/>
      <c r="M281" s="524"/>
      <c r="N281" s="524" t="e">
        <f>+#REF!</f>
        <v>#REF!</v>
      </c>
      <c r="O281" s="205"/>
      <c r="P281" s="582"/>
      <c r="Q281" s="582"/>
    </row>
    <row r="282" spans="1:17" x14ac:dyDescent="0.25">
      <c r="A282" s="524"/>
      <c r="B282" s="536"/>
      <c r="C282" s="90" t="e">
        <f>+#REF!</f>
        <v>#REF!</v>
      </c>
      <c r="D282" s="90"/>
      <c r="E282" s="90"/>
      <c r="F282" s="90"/>
      <c r="G282" s="90"/>
      <c r="H282" s="90"/>
      <c r="I282" s="524"/>
      <c r="J282" s="524"/>
      <c r="K282" s="524"/>
      <c r="L282" s="524"/>
      <c r="M282" s="524"/>
      <c r="N282" s="524" t="e">
        <f>+#REF!</f>
        <v>#REF!</v>
      </c>
      <c r="O282" s="205"/>
      <c r="P282" s="582"/>
      <c r="Q282" s="582"/>
    </row>
    <row r="283" spans="1:17" x14ac:dyDescent="0.25">
      <c r="A283" s="524"/>
      <c r="B283" s="536"/>
      <c r="C283" s="90" t="e">
        <f>+#REF!</f>
        <v>#REF!</v>
      </c>
      <c r="D283" s="90"/>
      <c r="E283" s="90"/>
      <c r="F283" s="90"/>
      <c r="G283" s="90"/>
      <c r="H283" s="90"/>
      <c r="I283" s="524"/>
      <c r="J283" s="524"/>
      <c r="K283" s="524"/>
      <c r="L283" s="524"/>
      <c r="M283" s="524"/>
      <c r="N283" s="524" t="e">
        <f>+#REF!</f>
        <v>#REF!</v>
      </c>
      <c r="O283" s="205"/>
      <c r="P283" s="582"/>
      <c r="Q283" s="582"/>
    </row>
    <row r="284" spans="1:17" x14ac:dyDescent="0.25">
      <c r="A284" s="524"/>
      <c r="B284" s="536"/>
      <c r="C284" s="90"/>
      <c r="D284" s="90"/>
      <c r="E284" s="90"/>
      <c r="F284" s="90"/>
      <c r="G284" s="90"/>
      <c r="H284" s="90"/>
      <c r="I284" s="524"/>
      <c r="J284" s="524"/>
      <c r="K284" s="524"/>
      <c r="L284" s="524"/>
      <c r="M284" s="524"/>
      <c r="N284" s="524"/>
      <c r="O284" s="205"/>
      <c r="P284" s="582"/>
      <c r="Q284" s="582"/>
    </row>
    <row r="285" spans="1:17" ht="13.8" thickBot="1" x14ac:dyDescent="0.3">
      <c r="A285" s="524"/>
      <c r="B285" s="1132" t="s">
        <v>343</v>
      </c>
      <c r="C285" s="1133"/>
      <c r="D285" s="1132" t="s">
        <v>347</v>
      </c>
      <c r="E285" s="1134"/>
      <c r="F285" s="1134"/>
      <c r="G285" s="1134"/>
      <c r="H285" s="1134"/>
      <c r="I285" s="1135"/>
      <c r="J285" s="1138" t="s">
        <v>360</v>
      </c>
      <c r="K285" s="1139"/>
      <c r="L285" s="578" t="s">
        <v>342</v>
      </c>
      <c r="M285" s="578" t="s">
        <v>341</v>
      </c>
      <c r="N285" s="578" t="s">
        <v>312</v>
      </c>
      <c r="O285" s="639"/>
      <c r="P285" s="591"/>
      <c r="Q285" s="591"/>
    </row>
    <row r="286" spans="1:17" ht="13.8" thickTop="1" x14ac:dyDescent="0.25">
      <c r="A286" s="524"/>
      <c r="B286" s="519">
        <v>1</v>
      </c>
      <c r="C286" s="518"/>
      <c r="D286" s="519"/>
      <c r="E286" s="518"/>
      <c r="F286" s="518"/>
      <c r="G286" s="518"/>
      <c r="H286" s="518"/>
      <c r="I286" s="517"/>
      <c r="J286" s="517"/>
      <c r="K286" s="517"/>
      <c r="L286" s="530"/>
      <c r="M286" s="530"/>
      <c r="N286" s="530"/>
      <c r="O286" s="505"/>
      <c r="P286" s="505"/>
      <c r="Q286" s="505"/>
    </row>
    <row r="287" spans="1:17" x14ac:dyDescent="0.25">
      <c r="A287" s="524"/>
      <c r="B287" s="516">
        <f>1+B286</f>
        <v>2</v>
      </c>
      <c r="C287" s="515"/>
      <c r="D287" s="516"/>
      <c r="E287" s="515"/>
      <c r="F287" s="515"/>
      <c r="G287" s="515"/>
      <c r="H287" s="515"/>
      <c r="I287" s="514"/>
      <c r="J287" s="514"/>
      <c r="K287" s="514"/>
      <c r="L287" s="528"/>
      <c r="M287" s="528"/>
      <c r="N287" s="528"/>
      <c r="O287" s="505"/>
      <c r="P287" s="505"/>
      <c r="Q287" s="505"/>
    </row>
    <row r="288" spans="1:17" x14ac:dyDescent="0.25">
      <c r="A288" s="524"/>
      <c r="B288" s="516">
        <f>1+B287</f>
        <v>3</v>
      </c>
      <c r="C288" s="515"/>
      <c r="D288" s="516"/>
      <c r="E288" s="515"/>
      <c r="F288" s="515"/>
      <c r="G288" s="515"/>
      <c r="H288" s="515"/>
      <c r="I288" s="514"/>
      <c r="J288" s="514"/>
      <c r="K288" s="514"/>
      <c r="L288" s="528"/>
      <c r="M288" s="528"/>
      <c r="N288" s="528"/>
      <c r="O288" s="505"/>
      <c r="P288" s="505"/>
      <c r="Q288" s="505"/>
    </row>
    <row r="289" spans="1:17" ht="13.8" thickBot="1" x14ac:dyDescent="0.3">
      <c r="A289" s="524"/>
      <c r="B289" s="516">
        <f>1+B288</f>
        <v>4</v>
      </c>
      <c r="C289" s="515"/>
      <c r="D289" s="516"/>
      <c r="E289" s="515"/>
      <c r="F289" s="515"/>
      <c r="G289" s="515"/>
      <c r="H289" s="515"/>
      <c r="I289" s="514"/>
      <c r="J289" s="514"/>
      <c r="K289" s="514"/>
      <c r="L289" s="528"/>
      <c r="M289" s="528"/>
      <c r="N289" s="528"/>
      <c r="O289" s="505"/>
      <c r="P289" s="505"/>
      <c r="Q289" s="505"/>
    </row>
    <row r="290" spans="1:17" ht="13.8" thickTop="1" x14ac:dyDescent="0.25">
      <c r="A290" s="524"/>
      <c r="B290" s="585"/>
      <c r="C290" s="586"/>
      <c r="D290" s="587" t="s">
        <v>171</v>
      </c>
      <c r="E290" s="586"/>
      <c r="F290" s="586"/>
      <c r="G290" s="586"/>
      <c r="H290" s="586"/>
      <c r="I290" s="588"/>
      <c r="J290" s="588"/>
      <c r="K290" s="588"/>
      <c r="L290" s="589">
        <f>SUM(L286:L289)</f>
        <v>0</v>
      </c>
      <c r="M290" s="589"/>
      <c r="N290" s="589"/>
      <c r="O290" s="592"/>
      <c r="P290" s="592"/>
      <c r="Q290" s="592"/>
    </row>
    <row r="291" spans="1:17" x14ac:dyDescent="0.25">
      <c r="A291" s="524"/>
      <c r="B291" s="527"/>
      <c r="C291" s="505"/>
      <c r="D291" s="505"/>
      <c r="E291" s="505"/>
      <c r="F291" s="505"/>
      <c r="G291" s="505"/>
      <c r="H291" s="505"/>
      <c r="I291" s="505"/>
      <c r="J291" s="505"/>
      <c r="K291" s="505"/>
      <c r="L291" s="505"/>
      <c r="M291" s="505"/>
      <c r="N291" s="505"/>
      <c r="O291" s="505"/>
      <c r="P291" s="505"/>
      <c r="Q291" s="505"/>
    </row>
    <row r="292" spans="1:17" x14ac:dyDescent="0.25">
      <c r="A292" s="524"/>
      <c r="B292" s="526" t="e">
        <f>+#REF!</f>
        <v>#REF!</v>
      </c>
      <c r="C292" s="505"/>
      <c r="D292" s="505"/>
      <c r="E292" s="505"/>
      <c r="F292" s="505"/>
      <c r="G292" s="505"/>
      <c r="H292" s="505"/>
      <c r="I292" s="505"/>
      <c r="J292" s="505"/>
      <c r="K292" s="505"/>
      <c r="L292" s="505"/>
      <c r="M292" s="505"/>
      <c r="N292" s="505" t="e">
        <f>+#REF!</f>
        <v>#REF!</v>
      </c>
      <c r="O292" s="505"/>
      <c r="P292" s="505"/>
      <c r="Q292" s="505"/>
    </row>
    <row r="293" spans="1:17" x14ac:dyDescent="0.25">
      <c r="A293" s="524"/>
      <c r="B293" s="638" t="s">
        <v>362</v>
      </c>
      <c r="C293" s="505" t="e">
        <f>+#REF!</f>
        <v>#REF!</v>
      </c>
      <c r="D293" s="505"/>
      <c r="E293" s="505"/>
      <c r="F293" s="505"/>
      <c r="G293" s="505"/>
      <c r="H293" s="505"/>
      <c r="I293" s="505"/>
      <c r="J293" s="505"/>
      <c r="K293" s="505"/>
      <c r="L293" s="505"/>
      <c r="M293" s="505"/>
      <c r="N293" s="505" t="e">
        <f>+#REF!</f>
        <v>#REF!</v>
      </c>
      <c r="O293" s="505"/>
      <c r="P293" s="505"/>
      <c r="Q293" s="505"/>
    </row>
    <row r="294" spans="1:17" x14ac:dyDescent="0.25">
      <c r="A294" s="524"/>
      <c r="B294" s="638" t="s">
        <v>362</v>
      </c>
      <c r="C294" s="505" t="e">
        <f>+#REF!</f>
        <v>#REF!</v>
      </c>
      <c r="D294" s="505"/>
      <c r="E294" s="505"/>
      <c r="F294" s="505"/>
      <c r="G294" s="505"/>
      <c r="H294" s="505"/>
      <c r="I294" s="505"/>
      <c r="J294" s="505"/>
      <c r="K294" s="505"/>
      <c r="L294" s="505"/>
      <c r="M294" s="505"/>
      <c r="N294" s="505" t="e">
        <f>+#REF!</f>
        <v>#REF!</v>
      </c>
      <c r="O294" s="505"/>
      <c r="P294" s="505"/>
      <c r="Q294" s="505"/>
    </row>
    <row r="295" spans="1:17" x14ac:dyDescent="0.25">
      <c r="A295" s="524"/>
      <c r="B295" s="638" t="s">
        <v>362</v>
      </c>
      <c r="C295" s="505" t="e">
        <f>+#REF!</f>
        <v>#REF!</v>
      </c>
      <c r="D295" s="505"/>
      <c r="E295" s="505"/>
      <c r="F295" s="505"/>
      <c r="G295" s="505"/>
      <c r="H295" s="505"/>
      <c r="I295" s="505"/>
      <c r="J295" s="505"/>
      <c r="K295" s="505"/>
      <c r="L295" s="505"/>
      <c r="M295" s="505"/>
      <c r="N295" s="505" t="e">
        <f>+#REF!</f>
        <v>#REF!</v>
      </c>
      <c r="O295" s="505"/>
      <c r="P295" s="505"/>
      <c r="Q295" s="505"/>
    </row>
    <row r="296" spans="1:17" x14ac:dyDescent="0.25">
      <c r="A296" s="524"/>
      <c r="B296" s="638" t="s">
        <v>362</v>
      </c>
      <c r="C296" s="505" t="e">
        <f>+#REF!</f>
        <v>#REF!</v>
      </c>
      <c r="D296" s="505"/>
      <c r="E296" s="505"/>
      <c r="F296" s="505"/>
      <c r="G296" s="505"/>
      <c r="H296" s="505"/>
      <c r="I296" s="505"/>
      <c r="J296" s="505"/>
      <c r="K296" s="505"/>
      <c r="L296" s="505"/>
      <c r="M296" s="505"/>
      <c r="N296" s="505" t="e">
        <f>+#REF!</f>
        <v>#REF!</v>
      </c>
      <c r="O296" s="505"/>
      <c r="P296" s="505"/>
      <c r="Q296" s="505"/>
    </row>
    <row r="297" spans="1:17" x14ac:dyDescent="0.25">
      <c r="A297" s="524"/>
      <c r="B297" s="638" t="s">
        <v>362</v>
      </c>
      <c r="C297" s="505" t="e">
        <f>+#REF!</f>
        <v>#REF!</v>
      </c>
      <c r="D297" s="505"/>
      <c r="E297" s="505"/>
      <c r="F297" s="505"/>
      <c r="G297" s="505"/>
      <c r="H297" s="505"/>
      <c r="I297" s="505"/>
      <c r="J297" s="505"/>
      <c r="K297" s="505"/>
      <c r="L297" s="505"/>
      <c r="M297" s="505"/>
      <c r="N297" s="505" t="e">
        <f>+#REF!</f>
        <v>#REF!</v>
      </c>
      <c r="O297" s="505"/>
      <c r="P297" s="505"/>
      <c r="Q297" s="505"/>
    </row>
    <row r="298" spans="1:17" x14ac:dyDescent="0.25">
      <c r="A298" s="524"/>
      <c r="B298" s="638" t="s">
        <v>362</v>
      </c>
      <c r="C298" s="505" t="e">
        <f>+#REF!</f>
        <v>#REF!</v>
      </c>
      <c r="D298" s="505"/>
      <c r="E298" s="505"/>
      <c r="F298" s="505"/>
      <c r="G298" s="505"/>
      <c r="H298" s="505"/>
      <c r="I298" s="505"/>
      <c r="J298" s="505"/>
      <c r="K298" s="505"/>
      <c r="L298" s="505"/>
      <c r="M298" s="505"/>
      <c r="N298" s="505" t="e">
        <f>+#REF!</f>
        <v>#REF!</v>
      </c>
      <c r="O298" s="505"/>
      <c r="P298" s="505"/>
      <c r="Q298" s="505"/>
    </row>
    <row r="299" spans="1:17" x14ac:dyDescent="0.25">
      <c r="A299" s="524"/>
      <c r="B299" s="638" t="s">
        <v>362</v>
      </c>
      <c r="C299" s="505" t="e">
        <f>+#REF!</f>
        <v>#REF!</v>
      </c>
      <c r="D299" s="505"/>
      <c r="E299" s="505"/>
      <c r="F299" s="505"/>
      <c r="G299" s="505"/>
      <c r="H299" s="505"/>
      <c r="I299" s="505"/>
      <c r="J299" s="505"/>
      <c r="K299" s="505"/>
      <c r="L299" s="505"/>
      <c r="M299" s="505"/>
      <c r="N299" s="505" t="e">
        <f>+#REF!</f>
        <v>#REF!</v>
      </c>
      <c r="O299" s="505"/>
      <c r="P299" s="505"/>
      <c r="Q299" s="505"/>
    </row>
    <row r="300" spans="1:17" x14ac:dyDescent="0.25">
      <c r="A300" s="524"/>
      <c r="B300" s="638" t="s">
        <v>362</v>
      </c>
      <c r="C300" s="505" t="e">
        <f>+#REF!</f>
        <v>#REF!</v>
      </c>
      <c r="D300" s="505"/>
      <c r="E300" s="505"/>
      <c r="F300" s="505"/>
      <c r="G300" s="505"/>
      <c r="H300" s="505"/>
      <c r="I300" s="505"/>
      <c r="J300" s="505"/>
      <c r="K300" s="505"/>
      <c r="L300" s="505"/>
      <c r="M300" s="505"/>
      <c r="N300" s="505" t="e">
        <f>+#REF!</f>
        <v>#REF!</v>
      </c>
      <c r="O300" s="505"/>
      <c r="P300" s="505"/>
      <c r="Q300" s="505"/>
    </row>
    <row r="301" spans="1:17" x14ac:dyDescent="0.25">
      <c r="A301" s="524"/>
      <c r="B301" s="638" t="s">
        <v>362</v>
      </c>
      <c r="C301" s="505" t="e">
        <f>+#REF!</f>
        <v>#REF!</v>
      </c>
      <c r="D301" s="505"/>
      <c r="E301" s="505"/>
      <c r="F301" s="505"/>
      <c r="G301" s="505"/>
      <c r="H301" s="505"/>
      <c r="I301" s="505"/>
      <c r="J301" s="505"/>
      <c r="K301" s="505"/>
      <c r="L301" s="505"/>
      <c r="M301" s="505"/>
      <c r="N301" s="505" t="e">
        <f>+#REF!</f>
        <v>#REF!</v>
      </c>
      <c r="O301" s="505"/>
      <c r="P301" s="505"/>
      <c r="Q301" s="505"/>
    </row>
    <row r="302" spans="1:17" x14ac:dyDescent="0.25">
      <c r="A302" s="524"/>
      <c r="B302" s="638" t="s">
        <v>362</v>
      </c>
      <c r="C302" s="505" t="e">
        <f>+#REF!</f>
        <v>#REF!</v>
      </c>
      <c r="D302" s="505"/>
      <c r="E302" s="505"/>
      <c r="F302" s="505"/>
      <c r="G302" s="505"/>
      <c r="H302" s="505"/>
      <c r="I302" s="505"/>
      <c r="J302" s="505"/>
      <c r="K302" s="505"/>
      <c r="L302" s="505"/>
      <c r="M302" s="505"/>
      <c r="N302" s="505" t="e">
        <f>+#REF!</f>
        <v>#REF!</v>
      </c>
      <c r="O302" s="505"/>
      <c r="P302" s="505"/>
      <c r="Q302" s="505"/>
    </row>
    <row r="303" spans="1:17" x14ac:dyDescent="0.25">
      <c r="A303" s="524"/>
      <c r="B303" s="638" t="s">
        <v>362</v>
      </c>
      <c r="C303" s="505" t="e">
        <f>+#REF!</f>
        <v>#REF!</v>
      </c>
      <c r="D303" s="505"/>
      <c r="E303" s="505"/>
      <c r="F303" s="505"/>
      <c r="G303" s="505"/>
      <c r="H303" s="505"/>
      <c r="I303" s="505"/>
      <c r="J303" s="505"/>
      <c r="K303" s="505"/>
      <c r="L303" s="505"/>
      <c r="M303" s="505"/>
      <c r="N303" s="505" t="e">
        <f>+#REF!</f>
        <v>#REF!</v>
      </c>
      <c r="O303" s="505"/>
      <c r="P303" s="505"/>
      <c r="Q303" s="505"/>
    </row>
    <row r="304" spans="1:17" x14ac:dyDescent="0.25">
      <c r="A304" s="524"/>
      <c r="B304" s="638" t="s">
        <v>362</v>
      </c>
      <c r="C304" s="505" t="e">
        <f>+#REF!</f>
        <v>#REF!</v>
      </c>
      <c r="D304" s="505"/>
      <c r="E304" s="505"/>
      <c r="F304" s="505"/>
      <c r="G304" s="505"/>
      <c r="H304" s="505"/>
      <c r="I304" s="505"/>
      <c r="J304" s="505"/>
      <c r="K304" s="505"/>
      <c r="L304" s="505"/>
      <c r="M304" s="505"/>
      <c r="N304" s="505" t="e">
        <f>+#REF!</f>
        <v>#REF!</v>
      </c>
      <c r="O304" s="505"/>
      <c r="P304" s="505"/>
      <c r="Q304" s="505"/>
    </row>
    <row r="305" spans="1:17" x14ac:dyDescent="0.25">
      <c r="A305" s="524"/>
      <c r="B305" s="638" t="s">
        <v>362</v>
      </c>
      <c r="C305" s="505" t="e">
        <f>+#REF!</f>
        <v>#REF!</v>
      </c>
      <c r="D305" s="505"/>
      <c r="E305" s="505"/>
      <c r="F305" s="505"/>
      <c r="G305" s="505"/>
      <c r="H305" s="505"/>
      <c r="I305" s="505"/>
      <c r="J305" s="505"/>
      <c r="K305" s="505"/>
      <c r="L305" s="505"/>
      <c r="M305" s="505"/>
      <c r="N305" s="505" t="e">
        <f>+#REF!</f>
        <v>#REF!</v>
      </c>
      <c r="O305" s="505"/>
      <c r="P305" s="505"/>
      <c r="Q305" s="505"/>
    </row>
    <row r="306" spans="1:17" x14ac:dyDescent="0.25">
      <c r="A306" s="524"/>
      <c r="B306" s="638" t="s">
        <v>362</v>
      </c>
      <c r="C306" s="505" t="e">
        <f>+#REF!</f>
        <v>#REF!</v>
      </c>
      <c r="D306" s="505"/>
      <c r="E306" s="505"/>
      <c r="F306" s="505"/>
      <c r="G306" s="505"/>
      <c r="H306" s="505"/>
      <c r="I306" s="505"/>
      <c r="J306" s="505"/>
      <c r="K306" s="505"/>
      <c r="L306" s="505"/>
      <c r="M306" s="505"/>
      <c r="N306" s="505" t="e">
        <f>+#REF!</f>
        <v>#REF!</v>
      </c>
      <c r="O306" s="505"/>
      <c r="P306" s="505"/>
      <c r="Q306" s="505"/>
    </row>
    <row r="307" spans="1:17" x14ac:dyDescent="0.25">
      <c r="A307" s="524"/>
      <c r="B307" s="638" t="s">
        <v>362</v>
      </c>
      <c r="C307" s="505" t="e">
        <f>+#REF!</f>
        <v>#REF!</v>
      </c>
      <c r="D307" s="505"/>
      <c r="E307" s="505"/>
      <c r="F307" s="505"/>
      <c r="G307" s="505"/>
      <c r="H307" s="505"/>
      <c r="I307" s="505"/>
      <c r="J307" s="505"/>
      <c r="K307" s="505"/>
      <c r="L307" s="505"/>
      <c r="M307" s="505"/>
      <c r="N307" s="505" t="e">
        <f>+#REF!</f>
        <v>#REF!</v>
      </c>
      <c r="O307" s="505"/>
      <c r="P307" s="505"/>
      <c r="Q307" s="505"/>
    </row>
    <row r="308" spans="1:17" x14ac:dyDescent="0.25">
      <c r="A308" s="524"/>
      <c r="B308" s="638" t="s">
        <v>362</v>
      </c>
      <c r="C308" s="505" t="e">
        <f>+#REF!</f>
        <v>#REF!</v>
      </c>
      <c r="D308" s="505"/>
      <c r="E308" s="505"/>
      <c r="F308" s="505"/>
      <c r="G308" s="505"/>
      <c r="H308" s="505"/>
      <c r="I308" s="505"/>
      <c r="J308" s="505"/>
      <c r="K308" s="505"/>
      <c r="L308" s="505"/>
      <c r="M308" s="505"/>
      <c r="N308" s="505" t="e">
        <f>+#REF!</f>
        <v>#REF!</v>
      </c>
      <c r="O308" s="505"/>
      <c r="P308" s="505"/>
      <c r="Q308" s="505"/>
    </row>
    <row r="309" spans="1:17" x14ac:dyDescent="0.25">
      <c r="A309" s="524"/>
      <c r="B309" s="536"/>
      <c r="C309" s="90"/>
      <c r="D309" s="90"/>
      <c r="E309" s="90"/>
      <c r="F309" s="90"/>
      <c r="G309" s="90"/>
      <c r="H309" s="90"/>
      <c r="I309" s="524"/>
      <c r="J309" s="524"/>
      <c r="K309" s="524"/>
      <c r="L309" s="524"/>
      <c r="M309" s="524"/>
      <c r="N309" s="505" t="e">
        <f>+#REF!</f>
        <v>#REF!</v>
      </c>
      <c r="O309" s="205"/>
      <c r="P309" s="582"/>
      <c r="Q309" s="582"/>
    </row>
    <row r="310" spans="1:17" ht="13.8" thickBot="1" x14ac:dyDescent="0.3">
      <c r="A310" s="524"/>
      <c r="B310" s="1132" t="s">
        <v>343</v>
      </c>
      <c r="C310" s="1133"/>
      <c r="D310" s="1132" t="s">
        <v>347</v>
      </c>
      <c r="E310" s="1134"/>
      <c r="F310" s="1134"/>
      <c r="G310" s="1134"/>
      <c r="H310" s="1134"/>
      <c r="I310" s="1135"/>
      <c r="J310" s="1138" t="s">
        <v>360</v>
      </c>
      <c r="K310" s="1139"/>
      <c r="L310" s="578" t="s">
        <v>342</v>
      </c>
      <c r="M310" s="578" t="s">
        <v>341</v>
      </c>
      <c r="N310" s="578" t="s">
        <v>312</v>
      </c>
      <c r="O310" s="591"/>
      <c r="P310" s="591"/>
      <c r="Q310" s="591"/>
    </row>
    <row r="311" spans="1:17" ht="13.8" thickTop="1" x14ac:dyDescent="0.25">
      <c r="A311" s="524"/>
      <c r="B311" s="519">
        <v>1</v>
      </c>
      <c r="C311" s="518"/>
      <c r="D311" s="519"/>
      <c r="E311" s="518"/>
      <c r="F311" s="518"/>
      <c r="G311" s="518"/>
      <c r="H311" s="518"/>
      <c r="I311" s="517"/>
      <c r="J311" s="517"/>
      <c r="K311" s="517"/>
      <c r="L311" s="530"/>
      <c r="M311" s="530"/>
      <c r="N311" s="530"/>
      <c r="O311" s="505"/>
      <c r="P311" s="505"/>
      <c r="Q311" s="505"/>
    </row>
    <row r="312" spans="1:17" x14ac:dyDescent="0.25">
      <c r="A312" s="524"/>
      <c r="B312" s="516">
        <f>1+B311</f>
        <v>2</v>
      </c>
      <c r="C312" s="515"/>
      <c r="D312" s="516"/>
      <c r="E312" s="515"/>
      <c r="F312" s="515"/>
      <c r="G312" s="515"/>
      <c r="H312" s="515"/>
      <c r="I312" s="514"/>
      <c r="J312" s="514"/>
      <c r="K312" s="514"/>
      <c r="L312" s="528"/>
      <c r="M312" s="528"/>
      <c r="N312" s="528"/>
      <c r="O312" s="505"/>
      <c r="P312" s="505"/>
      <c r="Q312" s="505"/>
    </row>
    <row r="313" spans="1:17" x14ac:dyDescent="0.25">
      <c r="A313" s="524"/>
      <c r="B313" s="516">
        <f>1+B312</f>
        <v>3</v>
      </c>
      <c r="C313" s="515"/>
      <c r="D313" s="516"/>
      <c r="E313" s="515"/>
      <c r="F313" s="515"/>
      <c r="G313" s="515"/>
      <c r="H313" s="515"/>
      <c r="I313" s="514"/>
      <c r="J313" s="514"/>
      <c r="K313" s="514"/>
      <c r="L313" s="528"/>
      <c r="M313" s="528"/>
      <c r="N313" s="528"/>
      <c r="O313" s="505"/>
      <c r="P313" s="505"/>
      <c r="Q313" s="505"/>
    </row>
    <row r="314" spans="1:17" ht="13.8" thickBot="1" x14ac:dyDescent="0.3">
      <c r="A314" s="524"/>
      <c r="B314" s="516">
        <f>1+B313</f>
        <v>4</v>
      </c>
      <c r="C314" s="515"/>
      <c r="D314" s="516"/>
      <c r="E314" s="515"/>
      <c r="F314" s="515"/>
      <c r="G314" s="515"/>
      <c r="H314" s="515"/>
      <c r="I314" s="514"/>
      <c r="J314" s="514"/>
      <c r="K314" s="514"/>
      <c r="L314" s="528"/>
      <c r="M314" s="528"/>
      <c r="N314" s="528"/>
      <c r="O314" s="505"/>
      <c r="P314" s="505"/>
      <c r="Q314" s="505"/>
    </row>
    <row r="315" spans="1:17" ht="13.8" thickTop="1" x14ac:dyDescent="0.25">
      <c r="A315" s="524"/>
      <c r="B315" s="585"/>
      <c r="C315" s="586"/>
      <c r="D315" s="587" t="s">
        <v>171</v>
      </c>
      <c r="E315" s="586"/>
      <c r="F315" s="586"/>
      <c r="G315" s="586"/>
      <c r="H315" s="586"/>
      <c r="I315" s="588"/>
      <c r="J315" s="588"/>
      <c r="K315" s="588"/>
      <c r="L315" s="589">
        <f>SUM(L311:L314)</f>
        <v>0</v>
      </c>
      <c r="M315" s="589"/>
      <c r="N315" s="589" t="e">
        <f>+N309-L315</f>
        <v>#REF!</v>
      </c>
      <c r="O315" s="592"/>
      <c r="P315" s="592"/>
      <c r="Q315" s="592"/>
    </row>
    <row r="316" spans="1:17" x14ac:dyDescent="0.25">
      <c r="A316" s="524"/>
      <c r="B316" s="527"/>
      <c r="C316" s="505"/>
      <c r="D316" s="505"/>
      <c r="E316" s="505"/>
      <c r="F316" s="505"/>
      <c r="G316" s="505"/>
      <c r="H316" s="505"/>
      <c r="I316" s="505"/>
      <c r="J316" s="505"/>
      <c r="K316" s="505"/>
      <c r="L316" s="505"/>
      <c r="M316" s="505"/>
      <c r="N316" s="505"/>
      <c r="O316" s="505"/>
      <c r="P316" s="505"/>
      <c r="Q316" s="505"/>
    </row>
    <row r="317" spans="1:17" x14ac:dyDescent="0.25">
      <c r="A317" s="524"/>
      <c r="B317" s="536" t="e">
        <f>+#REF!</f>
        <v>#REF!</v>
      </c>
      <c r="C317" s="90"/>
      <c r="D317" s="90"/>
      <c r="E317" s="90"/>
      <c r="F317" s="90"/>
      <c r="G317" s="90"/>
      <c r="H317" s="90"/>
      <c r="I317" s="524"/>
      <c r="J317" s="524"/>
      <c r="K317" s="524"/>
      <c r="L317" s="524"/>
      <c r="M317" s="524"/>
      <c r="N317" s="205" t="e">
        <f>SUM(N318:N320)</f>
        <v>#REF!</v>
      </c>
      <c r="O317" s="205"/>
      <c r="P317" s="583"/>
      <c r="Q317" s="583"/>
    </row>
    <row r="318" spans="1:17" x14ac:dyDescent="0.25">
      <c r="A318" s="524"/>
      <c r="B318" s="536" t="s">
        <v>362</v>
      </c>
      <c r="C318" s="536" t="e">
        <f>+#REF!</f>
        <v>#REF!</v>
      </c>
      <c r="D318" s="90"/>
      <c r="E318" s="90"/>
      <c r="F318" s="90"/>
      <c r="G318" s="90"/>
      <c r="H318" s="90"/>
      <c r="I318" s="524"/>
      <c r="J318" s="524"/>
      <c r="K318" s="524"/>
      <c r="L318" s="524"/>
      <c r="M318" s="524"/>
      <c r="N318" s="205" t="e">
        <f>+#REF!</f>
        <v>#REF!</v>
      </c>
      <c r="O318" s="205"/>
      <c r="P318" s="582"/>
      <c r="Q318" s="582"/>
    </row>
    <row r="319" spans="1:17" x14ac:dyDescent="0.25">
      <c r="A319" s="524"/>
      <c r="B319" s="536" t="s">
        <v>362</v>
      </c>
      <c r="C319" s="536" t="e">
        <f>+#REF!</f>
        <v>#REF!</v>
      </c>
      <c r="D319" s="90"/>
      <c r="E319" s="90"/>
      <c r="F319" s="90"/>
      <c r="G319" s="90"/>
      <c r="H319" s="90"/>
      <c r="I319" s="524"/>
      <c r="J319" s="524"/>
      <c r="K319" s="524"/>
      <c r="L319" s="524"/>
      <c r="M319" s="524"/>
      <c r="N319" s="205" t="e">
        <f>+#REF!</f>
        <v>#REF!</v>
      </c>
      <c r="O319" s="205"/>
      <c r="P319" s="582"/>
      <c r="Q319" s="582"/>
    </row>
    <row r="320" spans="1:17" x14ac:dyDescent="0.25">
      <c r="A320" s="524"/>
      <c r="B320" s="536" t="s">
        <v>362</v>
      </c>
      <c r="C320" s="536" t="e">
        <f>+#REF!</f>
        <v>#REF!</v>
      </c>
      <c r="D320" s="90"/>
      <c r="E320" s="90"/>
      <c r="F320" s="90"/>
      <c r="G320" s="90"/>
      <c r="H320" s="90"/>
      <c r="I320" s="524"/>
      <c r="J320" s="524"/>
      <c r="K320" s="524"/>
      <c r="L320" s="524"/>
      <c r="M320" s="524"/>
      <c r="N320" s="205" t="e">
        <f>+#REF!</f>
        <v>#REF!</v>
      </c>
      <c r="O320" s="205"/>
      <c r="P320" s="582"/>
      <c r="Q320" s="582"/>
    </row>
    <row r="321" spans="1:17" x14ac:dyDescent="0.25">
      <c r="A321" s="524"/>
      <c r="B321" s="536"/>
      <c r="C321" s="536"/>
      <c r="D321" s="90"/>
      <c r="E321" s="90"/>
      <c r="F321" s="90"/>
      <c r="G321" s="90"/>
      <c r="H321" s="90"/>
      <c r="I321" s="524"/>
      <c r="J321" s="524"/>
      <c r="K321" s="524"/>
      <c r="L321" s="524"/>
      <c r="M321" s="524"/>
      <c r="N321" s="205"/>
      <c r="O321" s="205"/>
      <c r="P321" s="582"/>
      <c r="Q321" s="582"/>
    </row>
    <row r="322" spans="1:17" ht="13.8" thickBot="1" x14ac:dyDescent="0.3">
      <c r="A322" s="524"/>
      <c r="B322" s="1132" t="s">
        <v>343</v>
      </c>
      <c r="C322" s="1133"/>
      <c r="D322" s="1132" t="s">
        <v>347</v>
      </c>
      <c r="E322" s="1134"/>
      <c r="F322" s="1134"/>
      <c r="G322" s="1134"/>
      <c r="H322" s="1134"/>
      <c r="I322" s="1135"/>
      <c r="J322" s="1138" t="s">
        <v>360</v>
      </c>
      <c r="K322" s="1139"/>
      <c r="L322" s="578" t="s">
        <v>342</v>
      </c>
      <c r="M322" s="578" t="s">
        <v>341</v>
      </c>
      <c r="N322" s="578" t="s">
        <v>312</v>
      </c>
      <c r="O322" s="591"/>
      <c r="P322" s="591"/>
      <c r="Q322" s="591"/>
    </row>
    <row r="323" spans="1:17" ht="13.8" thickTop="1" x14ac:dyDescent="0.25">
      <c r="A323" s="524"/>
      <c r="B323" s="519">
        <v>1</v>
      </c>
      <c r="C323" s="518"/>
      <c r="D323" s="531"/>
      <c r="E323" s="518"/>
      <c r="F323" s="518"/>
      <c r="G323" s="518"/>
      <c r="H323" s="518"/>
      <c r="I323" s="517"/>
      <c r="J323" s="590"/>
      <c r="K323" s="590"/>
      <c r="L323" s="530"/>
      <c r="M323" s="530"/>
      <c r="N323" s="530"/>
      <c r="O323" s="505"/>
      <c r="P323" s="505"/>
      <c r="Q323" s="505"/>
    </row>
    <row r="324" spans="1:17" x14ac:dyDescent="0.25">
      <c r="A324" s="524"/>
      <c r="B324" s="516">
        <f>1+B323</f>
        <v>2</v>
      </c>
      <c r="C324" s="515"/>
      <c r="D324" s="516"/>
      <c r="E324" s="515"/>
      <c r="F324" s="515"/>
      <c r="G324" s="515"/>
      <c r="H324" s="515"/>
      <c r="I324" s="514"/>
      <c r="J324" s="514"/>
      <c r="K324" s="514"/>
      <c r="L324" s="528"/>
      <c r="M324" s="528"/>
      <c r="N324" s="528"/>
      <c r="O324" s="505"/>
      <c r="P324" s="505"/>
      <c r="Q324" s="505"/>
    </row>
    <row r="325" spans="1:17" x14ac:dyDescent="0.25">
      <c r="A325" s="524"/>
      <c r="B325" s="516">
        <f>1+B324</f>
        <v>3</v>
      </c>
      <c r="C325" s="515"/>
      <c r="D325" s="516"/>
      <c r="E325" s="515"/>
      <c r="F325" s="515"/>
      <c r="G325" s="515"/>
      <c r="H325" s="515"/>
      <c r="I325" s="514"/>
      <c r="J325" s="514"/>
      <c r="K325" s="514"/>
      <c r="L325" s="528"/>
      <c r="M325" s="528"/>
      <c r="N325" s="528"/>
      <c r="O325" s="505"/>
      <c r="P325" s="505"/>
      <c r="Q325" s="505"/>
    </row>
    <row r="326" spans="1:17" ht="13.8" thickBot="1" x14ac:dyDescent="0.3">
      <c r="A326" s="524"/>
      <c r="B326" s="516">
        <f>1+B325</f>
        <v>4</v>
      </c>
      <c r="C326" s="515"/>
      <c r="D326" s="516"/>
      <c r="E326" s="515"/>
      <c r="F326" s="515"/>
      <c r="G326" s="515"/>
      <c r="H326" s="515"/>
      <c r="I326" s="514"/>
      <c r="J326" s="514"/>
      <c r="K326" s="514"/>
      <c r="L326" s="528"/>
      <c r="M326" s="528"/>
      <c r="N326" s="528"/>
      <c r="O326" s="505"/>
      <c r="P326" s="505"/>
      <c r="Q326" s="505"/>
    </row>
    <row r="327" spans="1:17" ht="13.8" thickTop="1" x14ac:dyDescent="0.25">
      <c r="A327" s="524"/>
      <c r="B327" s="585"/>
      <c r="C327" s="586"/>
      <c r="D327" s="587" t="s">
        <v>171</v>
      </c>
      <c r="E327" s="586"/>
      <c r="F327" s="586"/>
      <c r="G327" s="586"/>
      <c r="H327" s="586"/>
      <c r="I327" s="588"/>
      <c r="J327" s="588"/>
      <c r="K327" s="588"/>
      <c r="L327" s="589">
        <f>SUM(L323:L326)</f>
        <v>0</v>
      </c>
      <c r="M327" s="589"/>
      <c r="N327" s="589" t="e">
        <f>+N318-L327</f>
        <v>#REF!</v>
      </c>
      <c r="O327" s="592"/>
      <c r="P327" s="592"/>
      <c r="Q327" s="592"/>
    </row>
    <row r="328" spans="1:17" x14ac:dyDescent="0.25">
      <c r="A328" s="524"/>
      <c r="B328" s="527"/>
      <c r="C328" s="505"/>
      <c r="D328" s="505"/>
      <c r="E328" s="505"/>
      <c r="F328" s="505"/>
      <c r="G328" s="505"/>
      <c r="H328" s="505"/>
      <c r="I328" s="505"/>
      <c r="J328" s="505"/>
      <c r="K328" s="505"/>
      <c r="L328" s="505"/>
      <c r="M328" s="505"/>
      <c r="N328" s="505"/>
      <c r="O328" s="505"/>
      <c r="P328" s="505"/>
      <c r="Q328" s="505"/>
    </row>
    <row r="329" spans="1:17" x14ac:dyDescent="0.25">
      <c r="A329" s="524"/>
      <c r="B329" s="526" t="e">
        <f>+#REF!</f>
        <v>#REF!</v>
      </c>
      <c r="C329" s="505"/>
      <c r="D329" s="505"/>
      <c r="E329" s="505"/>
      <c r="F329" s="505"/>
      <c r="G329" s="505"/>
      <c r="H329" s="505"/>
      <c r="I329" s="505"/>
      <c r="J329" s="505"/>
      <c r="K329" s="505"/>
      <c r="L329" s="505"/>
      <c r="M329" s="505"/>
      <c r="N329" s="505" t="e">
        <f>+#REF!</f>
        <v>#REF!</v>
      </c>
      <c r="O329" s="505"/>
      <c r="P329" s="505"/>
      <c r="Q329" s="505"/>
    </row>
    <row r="330" spans="1:17" x14ac:dyDescent="0.25">
      <c r="A330" s="524"/>
      <c r="B330" s="638" t="s">
        <v>363</v>
      </c>
      <c r="C330" s="505" t="e">
        <f>+#REF!</f>
        <v>#REF!</v>
      </c>
      <c r="D330" s="505"/>
      <c r="E330" s="505"/>
      <c r="F330" s="505"/>
      <c r="G330" s="505"/>
      <c r="H330" s="505"/>
      <c r="I330" s="505"/>
      <c r="J330" s="505"/>
      <c r="K330" s="505"/>
      <c r="L330" s="505"/>
      <c r="M330" s="505"/>
      <c r="N330" s="505" t="e">
        <f>+#REF!</f>
        <v>#REF!</v>
      </c>
      <c r="O330" s="505"/>
      <c r="P330" s="505"/>
      <c r="Q330" s="505"/>
    </row>
    <row r="331" spans="1:17" x14ac:dyDescent="0.25">
      <c r="A331" s="524"/>
      <c r="B331" s="638" t="s">
        <v>363</v>
      </c>
      <c r="C331" s="505" t="e">
        <f>+#REF!</f>
        <v>#REF!</v>
      </c>
      <c r="D331" s="505"/>
      <c r="E331" s="505"/>
      <c r="F331" s="505"/>
      <c r="G331" s="505"/>
      <c r="H331" s="505"/>
      <c r="I331" s="505"/>
      <c r="J331" s="505"/>
      <c r="K331" s="505"/>
      <c r="L331" s="505"/>
      <c r="M331" s="505"/>
      <c r="N331" s="505" t="e">
        <f>+#REF!</f>
        <v>#REF!</v>
      </c>
      <c r="O331" s="505"/>
      <c r="P331" s="505"/>
      <c r="Q331" s="505"/>
    </row>
    <row r="332" spans="1:17" x14ac:dyDescent="0.25">
      <c r="A332" s="524"/>
      <c r="B332" s="638" t="s">
        <v>363</v>
      </c>
      <c r="C332" s="505" t="e">
        <f>+#REF!</f>
        <v>#REF!</v>
      </c>
      <c r="D332" s="505"/>
      <c r="E332" s="505"/>
      <c r="F332" s="505"/>
      <c r="G332" s="505"/>
      <c r="H332" s="505"/>
      <c r="I332" s="505"/>
      <c r="J332" s="505"/>
      <c r="K332" s="505"/>
      <c r="L332" s="505"/>
      <c r="M332" s="505"/>
      <c r="N332" s="505" t="e">
        <f>+#REF!</f>
        <v>#REF!</v>
      </c>
      <c r="O332" s="505"/>
      <c r="P332" s="505"/>
      <c r="Q332" s="505"/>
    </row>
    <row r="333" spans="1:17" x14ac:dyDescent="0.25">
      <c r="A333" s="524"/>
      <c r="B333" s="638" t="s">
        <v>363</v>
      </c>
      <c r="C333" s="505" t="e">
        <f>+#REF!</f>
        <v>#REF!</v>
      </c>
      <c r="D333" s="505"/>
      <c r="E333" s="505"/>
      <c r="F333" s="505"/>
      <c r="G333" s="505"/>
      <c r="H333" s="505"/>
      <c r="I333" s="505"/>
      <c r="J333" s="505"/>
      <c r="K333" s="505"/>
      <c r="L333" s="505"/>
      <c r="M333" s="505"/>
      <c r="N333" s="505" t="e">
        <f>+#REF!</f>
        <v>#REF!</v>
      </c>
      <c r="O333" s="505"/>
      <c r="P333" s="505"/>
      <c r="Q333" s="505"/>
    </row>
    <row r="334" spans="1:17" x14ac:dyDescent="0.25">
      <c r="A334" s="524"/>
      <c r="B334" s="638" t="s">
        <v>363</v>
      </c>
      <c r="C334" s="505" t="e">
        <f>+#REF!</f>
        <v>#REF!</v>
      </c>
      <c r="D334" s="505"/>
      <c r="E334" s="505"/>
      <c r="F334" s="505"/>
      <c r="G334" s="505"/>
      <c r="H334" s="505"/>
      <c r="I334" s="505"/>
      <c r="J334" s="505"/>
      <c r="K334" s="505"/>
      <c r="L334" s="505"/>
      <c r="M334" s="505"/>
      <c r="N334" s="505" t="e">
        <f>+#REF!</f>
        <v>#REF!</v>
      </c>
      <c r="O334" s="505"/>
      <c r="P334" s="505"/>
      <c r="Q334" s="505"/>
    </row>
    <row r="335" spans="1:17" x14ac:dyDescent="0.25">
      <c r="A335" s="524"/>
      <c r="B335" s="638" t="s">
        <v>363</v>
      </c>
      <c r="C335" s="505" t="e">
        <f>+#REF!</f>
        <v>#REF!</v>
      </c>
      <c r="D335" s="505"/>
      <c r="E335" s="505"/>
      <c r="F335" s="505"/>
      <c r="G335" s="505"/>
      <c r="H335" s="505"/>
      <c r="I335" s="505"/>
      <c r="J335" s="505"/>
      <c r="K335" s="505"/>
      <c r="L335" s="505"/>
      <c r="M335" s="505"/>
      <c r="N335" s="505" t="e">
        <f>+#REF!</f>
        <v>#REF!</v>
      </c>
      <c r="O335" s="505"/>
      <c r="P335" s="505"/>
      <c r="Q335" s="505"/>
    </row>
    <row r="336" spans="1:17" x14ac:dyDescent="0.25">
      <c r="A336" s="524"/>
      <c r="B336" s="638" t="s">
        <v>363</v>
      </c>
      <c r="C336" s="505" t="e">
        <f>+#REF!</f>
        <v>#REF!</v>
      </c>
      <c r="D336" s="505"/>
      <c r="E336" s="505"/>
      <c r="F336" s="505"/>
      <c r="G336" s="505"/>
      <c r="H336" s="505"/>
      <c r="I336" s="505"/>
      <c r="J336" s="505"/>
      <c r="K336" s="505"/>
      <c r="L336" s="505"/>
      <c r="M336" s="505"/>
      <c r="N336" s="505" t="e">
        <f>+#REF!</f>
        <v>#REF!</v>
      </c>
      <c r="O336" s="505"/>
      <c r="P336" s="505"/>
      <c r="Q336" s="505"/>
    </row>
    <row r="337" spans="1:17" x14ac:dyDescent="0.25">
      <c r="A337" s="524"/>
      <c r="B337" s="638" t="s">
        <v>363</v>
      </c>
      <c r="C337" s="505" t="e">
        <f>+#REF!</f>
        <v>#REF!</v>
      </c>
      <c r="D337" s="505"/>
      <c r="E337" s="505"/>
      <c r="F337" s="505"/>
      <c r="G337" s="505"/>
      <c r="H337" s="505"/>
      <c r="I337" s="505"/>
      <c r="J337" s="505"/>
      <c r="K337" s="505"/>
      <c r="L337" s="505"/>
      <c r="M337" s="505"/>
      <c r="N337" s="505" t="e">
        <f>+#REF!</f>
        <v>#REF!</v>
      </c>
      <c r="O337" s="505"/>
      <c r="P337" s="505"/>
      <c r="Q337" s="505"/>
    </row>
    <row r="338" spans="1:17" x14ac:dyDescent="0.25">
      <c r="A338" s="524"/>
      <c r="B338" s="638" t="s">
        <v>363</v>
      </c>
      <c r="C338" s="505" t="e">
        <f>+#REF!</f>
        <v>#REF!</v>
      </c>
      <c r="D338" s="505"/>
      <c r="E338" s="505"/>
      <c r="F338" s="505"/>
      <c r="G338" s="505"/>
      <c r="H338" s="505"/>
      <c r="I338" s="505"/>
      <c r="J338" s="505"/>
      <c r="K338" s="505"/>
      <c r="L338" s="505"/>
      <c r="M338" s="505"/>
      <c r="N338" s="505" t="e">
        <f>+#REF!</f>
        <v>#REF!</v>
      </c>
      <c r="O338" s="505"/>
      <c r="P338" s="505"/>
      <c r="Q338" s="505"/>
    </row>
    <row r="339" spans="1:17" x14ac:dyDescent="0.25">
      <c r="A339" s="524"/>
      <c r="B339" s="638" t="s">
        <v>363</v>
      </c>
      <c r="C339" s="505" t="e">
        <f>+#REF!</f>
        <v>#REF!</v>
      </c>
      <c r="D339" s="505"/>
      <c r="E339" s="505"/>
      <c r="F339" s="505"/>
      <c r="G339" s="505"/>
      <c r="H339" s="505"/>
      <c r="I339" s="505"/>
      <c r="J339" s="505"/>
      <c r="K339" s="505"/>
      <c r="L339" s="505"/>
      <c r="M339" s="505"/>
      <c r="N339" s="505" t="e">
        <f>+#REF!</f>
        <v>#REF!</v>
      </c>
      <c r="O339" s="505"/>
      <c r="P339" s="505"/>
      <c r="Q339" s="505"/>
    </row>
    <row r="340" spans="1:17" x14ac:dyDescent="0.25">
      <c r="A340" s="524"/>
      <c r="B340" s="638" t="s">
        <v>363</v>
      </c>
      <c r="C340" s="505" t="e">
        <f>+#REF!</f>
        <v>#REF!</v>
      </c>
      <c r="D340" s="505"/>
      <c r="E340" s="505"/>
      <c r="F340" s="505"/>
      <c r="G340" s="505"/>
      <c r="H340" s="505"/>
      <c r="I340" s="505"/>
      <c r="J340" s="505"/>
      <c r="K340" s="505"/>
      <c r="L340" s="505"/>
      <c r="M340" s="505"/>
      <c r="N340" s="505" t="e">
        <f>+#REF!</f>
        <v>#REF!</v>
      </c>
      <c r="O340" s="505"/>
      <c r="P340" s="505"/>
      <c r="Q340" s="505"/>
    </row>
    <row r="341" spans="1:17" x14ac:dyDescent="0.25">
      <c r="A341" s="524"/>
      <c r="B341" s="638" t="s">
        <v>363</v>
      </c>
      <c r="C341" s="505" t="e">
        <f>+#REF!</f>
        <v>#REF!</v>
      </c>
      <c r="D341" s="505"/>
      <c r="E341" s="505"/>
      <c r="F341" s="505"/>
      <c r="G341" s="505"/>
      <c r="H341" s="505"/>
      <c r="I341" s="505"/>
      <c r="J341" s="505"/>
      <c r="K341" s="505"/>
      <c r="L341" s="505"/>
      <c r="M341" s="505"/>
      <c r="N341" s="505" t="e">
        <f>+#REF!</f>
        <v>#REF!</v>
      </c>
      <c r="O341" s="505"/>
      <c r="P341" s="505"/>
      <c r="Q341" s="505"/>
    </row>
    <row r="342" spans="1:17" x14ac:dyDescent="0.25">
      <c r="A342" s="524"/>
      <c r="B342" s="638" t="s">
        <v>363</v>
      </c>
      <c r="C342" s="505" t="e">
        <f>+#REF!</f>
        <v>#REF!</v>
      </c>
      <c r="D342" s="505"/>
      <c r="E342" s="505"/>
      <c r="F342" s="505"/>
      <c r="G342" s="505"/>
      <c r="H342" s="505"/>
      <c r="I342" s="505"/>
      <c r="J342" s="505"/>
      <c r="K342" s="505"/>
      <c r="L342" s="505"/>
      <c r="M342" s="505"/>
      <c r="N342" s="505" t="e">
        <f>+#REF!</f>
        <v>#REF!</v>
      </c>
      <c r="O342" s="505"/>
      <c r="P342" s="505"/>
      <c r="Q342" s="505"/>
    </row>
    <row r="343" spans="1:17" x14ac:dyDescent="0.25">
      <c r="A343" s="524"/>
      <c r="B343" s="638" t="s">
        <v>363</v>
      </c>
      <c r="C343" s="505" t="e">
        <f>+#REF!</f>
        <v>#REF!</v>
      </c>
      <c r="D343" s="505"/>
      <c r="E343" s="505"/>
      <c r="F343" s="505"/>
      <c r="G343" s="505"/>
      <c r="H343" s="505"/>
      <c r="I343" s="505"/>
      <c r="J343" s="505"/>
      <c r="K343" s="505"/>
      <c r="L343" s="505"/>
      <c r="M343" s="505"/>
      <c r="N343" s="505" t="e">
        <f>+#REF!</f>
        <v>#REF!</v>
      </c>
      <c r="O343" s="505"/>
      <c r="P343" s="505"/>
      <c r="Q343" s="505"/>
    </row>
    <row r="344" spans="1:17" x14ac:dyDescent="0.25">
      <c r="A344" s="524"/>
      <c r="B344" s="638" t="s">
        <v>363</v>
      </c>
      <c r="C344" s="505" t="e">
        <f>+#REF!</f>
        <v>#REF!</v>
      </c>
      <c r="D344" s="505"/>
      <c r="E344" s="505"/>
      <c r="F344" s="505"/>
      <c r="G344" s="505"/>
      <c r="H344" s="505"/>
      <c r="I344" s="505"/>
      <c r="J344" s="505"/>
      <c r="K344" s="505"/>
      <c r="L344" s="505"/>
      <c r="M344" s="505"/>
      <c r="N344" s="505" t="e">
        <f>+#REF!</f>
        <v>#REF!</v>
      </c>
      <c r="O344" s="505"/>
      <c r="P344" s="505"/>
      <c r="Q344" s="505"/>
    </row>
    <row r="345" spans="1:17" x14ac:dyDescent="0.25">
      <c r="A345" s="524"/>
      <c r="B345" s="638" t="s">
        <v>363</v>
      </c>
      <c r="C345" s="505" t="e">
        <f>+#REF!</f>
        <v>#REF!</v>
      </c>
      <c r="D345" s="505"/>
      <c r="E345" s="505"/>
      <c r="F345" s="505"/>
      <c r="G345" s="505"/>
      <c r="H345" s="505"/>
      <c r="I345" s="505"/>
      <c r="J345" s="505"/>
      <c r="K345" s="505"/>
      <c r="L345" s="505"/>
      <c r="M345" s="505"/>
      <c r="N345" s="505" t="e">
        <f>+#REF!</f>
        <v>#REF!</v>
      </c>
      <c r="O345" s="505"/>
      <c r="P345" s="505"/>
      <c r="Q345" s="505"/>
    </row>
    <row r="346" spans="1:17" x14ac:dyDescent="0.25">
      <c r="A346" s="524"/>
      <c r="B346" s="638"/>
      <c r="C346" s="505"/>
      <c r="D346" s="90"/>
      <c r="E346" s="90"/>
      <c r="F346" s="90"/>
      <c r="G346" s="90"/>
      <c r="H346" s="90"/>
      <c r="I346" s="524"/>
      <c r="J346" s="524"/>
      <c r="K346" s="524"/>
      <c r="L346" s="524"/>
      <c r="M346" s="524"/>
      <c r="N346" s="505" t="e">
        <f>+#REF!</f>
        <v>#REF!</v>
      </c>
      <c r="O346" s="205"/>
      <c r="P346" s="582"/>
      <c r="Q346" s="582"/>
    </row>
    <row r="347" spans="1:17" ht="13.8" thickBot="1" x14ac:dyDescent="0.3">
      <c r="A347" s="524"/>
      <c r="B347" s="1132" t="s">
        <v>343</v>
      </c>
      <c r="C347" s="1133"/>
      <c r="D347" s="1132" t="s">
        <v>347</v>
      </c>
      <c r="E347" s="1134"/>
      <c r="F347" s="1134"/>
      <c r="G347" s="1134"/>
      <c r="H347" s="1134"/>
      <c r="I347" s="1135"/>
      <c r="J347" s="1138" t="s">
        <v>360</v>
      </c>
      <c r="K347" s="1139"/>
      <c r="L347" s="578" t="s">
        <v>342</v>
      </c>
      <c r="M347" s="578" t="s">
        <v>341</v>
      </c>
      <c r="N347" s="578" t="s">
        <v>312</v>
      </c>
      <c r="O347" s="591"/>
      <c r="P347" s="591"/>
      <c r="Q347" s="591"/>
    </row>
    <row r="348" spans="1:17" ht="13.8" thickTop="1" x14ac:dyDescent="0.25">
      <c r="A348" s="524"/>
      <c r="B348" s="519"/>
      <c r="C348" s="518"/>
      <c r="D348" s="531"/>
      <c r="E348" s="518"/>
      <c r="F348" s="518"/>
      <c r="G348" s="518"/>
      <c r="H348" s="518"/>
      <c r="I348" s="517"/>
      <c r="J348" s="590"/>
      <c r="K348" s="590"/>
      <c r="L348" s="530"/>
      <c r="M348" s="530"/>
      <c r="N348" s="530"/>
      <c r="O348" s="505"/>
      <c r="P348" s="505"/>
      <c r="Q348" s="505"/>
    </row>
    <row r="349" spans="1:17" x14ac:dyDescent="0.25">
      <c r="A349" s="524"/>
      <c r="B349" s="516"/>
      <c r="C349" s="515"/>
      <c r="D349" s="516"/>
      <c r="E349" s="515"/>
      <c r="F349" s="515"/>
      <c r="G349" s="515"/>
      <c r="H349" s="515"/>
      <c r="I349" s="514"/>
      <c r="J349" s="514"/>
      <c r="K349" s="514"/>
      <c r="L349" s="528"/>
      <c r="M349" s="528"/>
      <c r="N349" s="528"/>
      <c r="O349" s="505"/>
      <c r="P349" s="505"/>
      <c r="Q349" s="505"/>
    </row>
    <row r="350" spans="1:17" x14ac:dyDescent="0.25">
      <c r="A350" s="524"/>
      <c r="B350" s="516"/>
      <c r="C350" s="515"/>
      <c r="D350" s="516"/>
      <c r="E350" s="515"/>
      <c r="F350" s="515"/>
      <c r="G350" s="515"/>
      <c r="H350" s="515"/>
      <c r="I350" s="514"/>
      <c r="J350" s="514"/>
      <c r="K350" s="514"/>
      <c r="L350" s="528"/>
      <c r="M350" s="528"/>
      <c r="N350" s="528"/>
      <c r="O350" s="505"/>
      <c r="P350" s="505"/>
      <c r="Q350" s="505"/>
    </row>
    <row r="351" spans="1:17" ht="13.8" thickBot="1" x14ac:dyDescent="0.3">
      <c r="A351" s="524"/>
      <c r="B351" s="516"/>
      <c r="C351" s="515"/>
      <c r="D351" s="516"/>
      <c r="E351" s="515"/>
      <c r="F351" s="515"/>
      <c r="G351" s="515"/>
      <c r="H351" s="515"/>
      <c r="I351" s="514"/>
      <c r="J351" s="514"/>
      <c r="K351" s="514"/>
      <c r="L351" s="528"/>
      <c r="M351" s="528"/>
      <c r="N351" s="528"/>
      <c r="O351" s="505"/>
      <c r="P351" s="505"/>
      <c r="Q351" s="505"/>
    </row>
    <row r="352" spans="1:17" ht="13.8" thickTop="1" x14ac:dyDescent="0.25">
      <c r="A352" s="524"/>
      <c r="B352" s="585"/>
      <c r="C352" s="586"/>
      <c r="D352" s="587"/>
      <c r="E352" s="586"/>
      <c r="F352" s="586"/>
      <c r="G352" s="586"/>
      <c r="H352" s="586"/>
      <c r="I352" s="588"/>
      <c r="J352" s="588"/>
      <c r="K352" s="588"/>
      <c r="L352" s="589"/>
      <c r="M352" s="589"/>
      <c r="N352" s="589"/>
      <c r="O352" s="592"/>
      <c r="P352" s="592"/>
      <c r="Q352" s="592"/>
    </row>
    <row r="353" spans="1:17" x14ac:dyDescent="0.25">
      <c r="A353" s="524"/>
      <c r="B353" s="527"/>
      <c r="C353" s="505"/>
      <c r="D353" s="505"/>
      <c r="E353" s="505"/>
      <c r="F353" s="505"/>
      <c r="G353" s="505"/>
      <c r="H353" s="505"/>
      <c r="I353" s="505"/>
      <c r="J353" s="505"/>
      <c r="K353" s="505"/>
      <c r="L353" s="505"/>
      <c r="M353" s="505"/>
      <c r="N353" s="505"/>
      <c r="O353" s="505"/>
      <c r="P353" s="505"/>
      <c r="Q353" s="505"/>
    </row>
    <row r="354" spans="1:17" x14ac:dyDescent="0.25">
      <c r="A354" s="524"/>
      <c r="B354" s="526" t="e">
        <f>+#REF!</f>
        <v>#REF!</v>
      </c>
      <c r="C354" s="505"/>
      <c r="D354" s="505"/>
      <c r="E354" s="505"/>
      <c r="F354" s="505"/>
      <c r="G354" s="505"/>
      <c r="H354" s="505"/>
      <c r="I354" s="505"/>
      <c r="J354" s="505"/>
      <c r="K354" s="505"/>
      <c r="L354" s="505"/>
      <c r="M354" s="505"/>
      <c r="N354" s="505" t="e">
        <f>+#REF!</f>
        <v>#REF!</v>
      </c>
      <c r="O354" s="505"/>
      <c r="P354" s="582"/>
      <c r="Q354" s="582"/>
    </row>
    <row r="355" spans="1:17" x14ac:dyDescent="0.25">
      <c r="A355" s="524"/>
      <c r="B355" s="638" t="s">
        <v>363</v>
      </c>
      <c r="C355" s="505" t="e">
        <f>+#REF!</f>
        <v>#REF!</v>
      </c>
      <c r="D355" s="505"/>
      <c r="E355" s="505"/>
      <c r="F355" s="505"/>
      <c r="G355" s="505"/>
      <c r="H355" s="505"/>
      <c r="I355" s="505"/>
      <c r="J355" s="505"/>
      <c r="K355" s="505"/>
      <c r="L355" s="505"/>
      <c r="M355" s="505"/>
      <c r="N355" s="505" t="e">
        <f>+#REF!</f>
        <v>#REF!</v>
      </c>
      <c r="O355" s="505"/>
      <c r="P355" s="505"/>
      <c r="Q355" s="505"/>
    </row>
    <row r="356" spans="1:17" x14ac:dyDescent="0.25">
      <c r="A356" s="524"/>
      <c r="B356" s="638" t="s">
        <v>363</v>
      </c>
      <c r="C356" s="505" t="e">
        <f>+#REF!</f>
        <v>#REF!</v>
      </c>
      <c r="D356" s="505"/>
      <c r="E356" s="505"/>
      <c r="F356" s="505"/>
      <c r="G356" s="505"/>
      <c r="H356" s="505"/>
      <c r="I356" s="505"/>
      <c r="J356" s="505"/>
      <c r="K356" s="505"/>
      <c r="L356" s="505"/>
      <c r="M356" s="505"/>
      <c r="N356" s="505" t="e">
        <f>+#REF!</f>
        <v>#REF!</v>
      </c>
      <c r="O356" s="505"/>
      <c r="P356" s="505"/>
      <c r="Q356" s="505"/>
    </row>
    <row r="357" spans="1:17" x14ac:dyDescent="0.25">
      <c r="A357" s="524"/>
      <c r="B357" s="638" t="s">
        <v>363</v>
      </c>
      <c r="C357" s="505" t="e">
        <f>+#REF!</f>
        <v>#REF!</v>
      </c>
      <c r="D357" s="505"/>
      <c r="E357" s="505"/>
      <c r="F357" s="505"/>
      <c r="G357" s="505"/>
      <c r="H357" s="505"/>
      <c r="I357" s="505"/>
      <c r="J357" s="505"/>
      <c r="K357" s="505"/>
      <c r="L357" s="505"/>
      <c r="M357" s="505"/>
      <c r="N357" s="505" t="e">
        <f>+#REF!</f>
        <v>#REF!</v>
      </c>
      <c r="O357" s="505"/>
      <c r="P357" s="505"/>
      <c r="Q357" s="505"/>
    </row>
    <row r="358" spans="1:17" x14ac:dyDescent="0.25">
      <c r="A358" s="524"/>
      <c r="B358" s="638" t="s">
        <v>363</v>
      </c>
      <c r="C358" s="505" t="e">
        <f>+#REF!</f>
        <v>#REF!</v>
      </c>
      <c r="D358" s="505"/>
      <c r="E358" s="505"/>
      <c r="F358" s="505"/>
      <c r="G358" s="505"/>
      <c r="H358" s="505"/>
      <c r="I358" s="505"/>
      <c r="J358" s="505"/>
      <c r="K358" s="505"/>
      <c r="L358" s="505"/>
      <c r="M358" s="505"/>
      <c r="N358" s="505" t="e">
        <f>+#REF!</f>
        <v>#REF!</v>
      </c>
      <c r="O358" s="505"/>
      <c r="P358" s="505"/>
      <c r="Q358" s="505"/>
    </row>
    <row r="359" spans="1:17" x14ac:dyDescent="0.25">
      <c r="A359" s="524"/>
      <c r="B359" s="638" t="s">
        <v>363</v>
      </c>
      <c r="C359" s="505" t="e">
        <f>+#REF!</f>
        <v>#REF!</v>
      </c>
      <c r="D359" s="505"/>
      <c r="E359" s="505"/>
      <c r="F359" s="505"/>
      <c r="G359" s="505"/>
      <c r="H359" s="505"/>
      <c r="I359" s="505"/>
      <c r="J359" s="505"/>
      <c r="K359" s="505"/>
      <c r="L359" s="505"/>
      <c r="M359" s="505"/>
      <c r="N359" s="505" t="e">
        <f>+#REF!</f>
        <v>#REF!</v>
      </c>
      <c r="O359" s="505"/>
      <c r="P359" s="582"/>
      <c r="Q359" s="582"/>
    </row>
    <row r="360" spans="1:17" x14ac:dyDescent="0.25">
      <c r="A360" s="524"/>
      <c r="B360" s="638"/>
      <c r="C360" s="505"/>
      <c r="D360" s="90"/>
      <c r="E360" s="90"/>
      <c r="F360" s="90"/>
      <c r="G360" s="90"/>
      <c r="H360" s="90"/>
      <c r="I360" s="524"/>
      <c r="J360" s="524"/>
      <c r="K360" s="524"/>
      <c r="L360" s="524"/>
      <c r="M360" s="524"/>
      <c r="N360" s="505"/>
      <c r="O360" s="505"/>
      <c r="P360" s="505"/>
      <c r="Q360" s="505"/>
    </row>
    <row r="361" spans="1:17" ht="13.8" thickBot="1" x14ac:dyDescent="0.3">
      <c r="A361" s="524"/>
      <c r="B361" s="1132" t="s">
        <v>343</v>
      </c>
      <c r="C361" s="1133"/>
      <c r="D361" s="1132" t="s">
        <v>347</v>
      </c>
      <c r="E361" s="1134"/>
      <c r="F361" s="1134"/>
      <c r="G361" s="1134"/>
      <c r="H361" s="1134"/>
      <c r="I361" s="1135"/>
      <c r="J361" s="1138" t="s">
        <v>360</v>
      </c>
      <c r="K361" s="1139"/>
      <c r="L361" s="578" t="s">
        <v>342</v>
      </c>
      <c r="M361" s="578" t="s">
        <v>341</v>
      </c>
      <c r="N361" s="578" t="s">
        <v>312</v>
      </c>
      <c r="O361" s="591"/>
      <c r="P361" s="592"/>
      <c r="Q361" s="592"/>
    </row>
    <row r="362" spans="1:17" ht="13.8" thickTop="1" x14ac:dyDescent="0.25">
      <c r="A362" s="524"/>
      <c r="B362" s="519"/>
      <c r="C362" s="518"/>
      <c r="D362" s="531"/>
      <c r="E362" s="518"/>
      <c r="F362" s="518"/>
      <c r="G362" s="518"/>
      <c r="H362" s="518"/>
      <c r="I362" s="517"/>
      <c r="J362" s="590"/>
      <c r="K362" s="590"/>
      <c r="L362" s="530"/>
      <c r="M362" s="530"/>
      <c r="N362" s="530"/>
      <c r="O362" s="505"/>
      <c r="P362" s="205"/>
      <c r="Q362" s="205"/>
    </row>
    <row r="363" spans="1:17" x14ac:dyDescent="0.25">
      <c r="A363" s="524"/>
      <c r="B363" s="516"/>
      <c r="C363" s="515"/>
      <c r="D363" s="516"/>
      <c r="E363" s="515"/>
      <c r="F363" s="515"/>
      <c r="G363" s="515"/>
      <c r="H363" s="515"/>
      <c r="I363" s="514"/>
      <c r="J363" s="514"/>
      <c r="K363" s="514"/>
      <c r="L363" s="528"/>
      <c r="M363" s="528"/>
      <c r="N363" s="528"/>
      <c r="O363" s="505"/>
      <c r="P363" s="582"/>
      <c r="Q363" s="582"/>
    </row>
    <row r="364" spans="1:17" x14ac:dyDescent="0.25">
      <c r="A364" s="524"/>
      <c r="B364" s="516"/>
      <c r="C364" s="515"/>
      <c r="D364" s="516"/>
      <c r="E364" s="515"/>
      <c r="F364" s="515"/>
      <c r="G364" s="515"/>
      <c r="H364" s="515"/>
      <c r="I364" s="514"/>
      <c r="J364" s="514"/>
      <c r="K364" s="514"/>
      <c r="L364" s="528"/>
      <c r="M364" s="528"/>
      <c r="N364" s="528"/>
      <c r="O364" s="505"/>
      <c r="P364" s="591"/>
      <c r="Q364" s="591"/>
    </row>
    <row r="365" spans="1:17" ht="13.8" thickBot="1" x14ac:dyDescent="0.3">
      <c r="A365" s="524"/>
      <c r="B365" s="516"/>
      <c r="C365" s="515"/>
      <c r="D365" s="516"/>
      <c r="E365" s="515"/>
      <c r="F365" s="515"/>
      <c r="G365" s="515"/>
      <c r="H365" s="515"/>
      <c r="I365" s="514"/>
      <c r="J365" s="514"/>
      <c r="K365" s="514"/>
      <c r="L365" s="528"/>
      <c r="M365" s="528"/>
      <c r="N365" s="528"/>
      <c r="O365" s="505"/>
      <c r="P365" s="505"/>
      <c r="Q365" s="505"/>
    </row>
    <row r="366" spans="1:17" ht="13.8" thickTop="1" x14ac:dyDescent="0.25">
      <c r="A366" s="524"/>
      <c r="B366" s="585"/>
      <c r="C366" s="586"/>
      <c r="D366" s="587"/>
      <c r="E366" s="586"/>
      <c r="F366" s="586"/>
      <c r="G366" s="586"/>
      <c r="H366" s="586"/>
      <c r="I366" s="588"/>
      <c r="J366" s="588"/>
      <c r="K366" s="588"/>
      <c r="L366" s="589"/>
      <c r="M366" s="589"/>
      <c r="N366" s="589"/>
      <c r="O366" s="592"/>
      <c r="P366" s="505"/>
      <c r="Q366" s="505"/>
    </row>
    <row r="367" spans="1:17" x14ac:dyDescent="0.25">
      <c r="A367" s="524"/>
      <c r="B367" s="536"/>
      <c r="C367" s="536"/>
      <c r="D367" s="90"/>
      <c r="E367" s="90"/>
      <c r="F367" s="90"/>
      <c r="G367" s="90"/>
      <c r="H367" s="90"/>
      <c r="I367" s="524"/>
      <c r="J367" s="524"/>
      <c r="K367" s="524"/>
      <c r="L367" s="524"/>
      <c r="M367" s="524"/>
      <c r="N367" s="205"/>
      <c r="O367" s="205"/>
      <c r="P367" s="205"/>
      <c r="Q367" s="205"/>
    </row>
    <row r="368" spans="1:17" x14ac:dyDescent="0.25">
      <c r="A368" s="155"/>
      <c r="B368" s="505" t="e">
        <f>+#REF!</f>
        <v>#REF!</v>
      </c>
      <c r="C368" s="505"/>
      <c r="D368" s="505"/>
      <c r="E368" s="505"/>
      <c r="F368" s="505"/>
      <c r="G368" s="505"/>
      <c r="H368" s="505"/>
      <c r="I368" s="505"/>
      <c r="J368" s="505"/>
      <c r="K368" s="505"/>
      <c r="L368" s="505"/>
      <c r="M368" s="505"/>
      <c r="N368" s="505" t="e">
        <f>+#REF!</f>
        <v>#REF!</v>
      </c>
      <c r="O368" s="505"/>
      <c r="P368" s="505"/>
      <c r="Q368" s="505"/>
    </row>
    <row r="369" spans="1:19" x14ac:dyDescent="0.25">
      <c r="A369" s="155"/>
      <c r="B369" s="636" t="s">
        <v>362</v>
      </c>
      <c r="C369" s="505" t="e">
        <f>+#REF!</f>
        <v>#REF!</v>
      </c>
      <c r="D369" s="505"/>
      <c r="E369" s="505"/>
      <c r="F369" s="505"/>
      <c r="G369" s="505"/>
      <c r="H369" s="505"/>
      <c r="I369" s="505"/>
      <c r="J369" s="505"/>
      <c r="K369" s="505"/>
      <c r="L369" s="505"/>
      <c r="M369" s="505"/>
      <c r="N369" s="505" t="e">
        <f>+#REF!</f>
        <v>#REF!</v>
      </c>
      <c r="O369" s="505"/>
      <c r="P369" s="505"/>
      <c r="Q369" s="505"/>
    </row>
    <row r="370" spans="1:19" x14ac:dyDescent="0.25">
      <c r="A370" s="155"/>
      <c r="B370" s="505"/>
      <c r="C370" s="505" t="e">
        <f>+#REF!</f>
        <v>#REF!</v>
      </c>
      <c r="D370" s="505"/>
      <c r="E370" s="505"/>
      <c r="F370" s="505"/>
      <c r="G370" s="505"/>
      <c r="H370" s="505"/>
      <c r="I370" s="505"/>
      <c r="J370" s="505"/>
      <c r="K370" s="505"/>
      <c r="L370" s="505"/>
      <c r="M370" s="505"/>
      <c r="N370" s="505" t="e">
        <f>+#REF!</f>
        <v>#REF!</v>
      </c>
      <c r="O370" s="505"/>
      <c r="P370" s="505"/>
      <c r="Q370" s="505"/>
    </row>
    <row r="371" spans="1:19" x14ac:dyDescent="0.25">
      <c r="A371" s="155"/>
      <c r="B371" s="505"/>
      <c r="C371" s="505" t="e">
        <f>+#REF!</f>
        <v>#REF!</v>
      </c>
      <c r="D371" s="505"/>
      <c r="E371" s="505"/>
      <c r="F371" s="505"/>
      <c r="G371" s="505"/>
      <c r="H371" s="505"/>
      <c r="I371" s="505"/>
      <c r="J371" s="505"/>
      <c r="K371" s="505"/>
      <c r="L371" s="505"/>
      <c r="M371" s="505"/>
      <c r="N371" s="505" t="e">
        <f>+#REF!</f>
        <v>#REF!</v>
      </c>
      <c r="O371" s="505"/>
      <c r="P371" s="505"/>
      <c r="Q371" s="505"/>
    </row>
    <row r="372" spans="1:19" x14ac:dyDescent="0.25">
      <c r="A372" s="155"/>
      <c r="B372" s="505"/>
      <c r="C372" s="505" t="e">
        <f>+#REF!</f>
        <v>#REF!</v>
      </c>
      <c r="D372" s="505"/>
      <c r="E372" s="505"/>
      <c r="F372" s="505"/>
      <c r="G372" s="505"/>
      <c r="H372" s="505"/>
      <c r="I372" s="505"/>
      <c r="J372" s="505"/>
      <c r="K372" s="505"/>
      <c r="L372" s="505"/>
      <c r="M372" s="505"/>
      <c r="N372" s="505" t="e">
        <f>+#REF!</f>
        <v>#REF!</v>
      </c>
      <c r="O372" s="505"/>
      <c r="P372" s="505"/>
      <c r="Q372" s="505"/>
    </row>
    <row r="373" spans="1:19" x14ac:dyDescent="0.25">
      <c r="A373" s="155"/>
      <c r="B373" s="505"/>
      <c r="C373" s="505" t="e">
        <f>+#REF!</f>
        <v>#REF!</v>
      </c>
      <c r="D373" s="505"/>
      <c r="E373" s="505"/>
      <c r="F373" s="505"/>
      <c r="G373" s="505"/>
      <c r="H373" s="505"/>
      <c r="I373" s="505"/>
      <c r="J373" s="505"/>
      <c r="K373" s="505"/>
      <c r="L373" s="505"/>
      <c r="M373" s="505"/>
      <c r="N373" s="505" t="e">
        <f>+#REF!</f>
        <v>#REF!</v>
      </c>
      <c r="O373" s="505"/>
      <c r="P373" s="505"/>
      <c r="Q373" s="505"/>
    </row>
    <row r="374" spans="1:19" x14ac:dyDescent="0.25">
      <c r="A374" s="155"/>
      <c r="B374" s="505"/>
      <c r="C374" s="505" t="e">
        <f>+#REF!</f>
        <v>#REF!</v>
      </c>
      <c r="D374" s="505"/>
      <c r="E374" s="505"/>
      <c r="F374" s="505"/>
      <c r="G374" s="505"/>
      <c r="H374" s="505"/>
      <c r="I374" s="505"/>
      <c r="J374" s="505"/>
      <c r="K374" s="505"/>
      <c r="L374" s="505"/>
      <c r="M374" s="505"/>
      <c r="N374" s="505" t="e">
        <f>+#REF!</f>
        <v>#REF!</v>
      </c>
      <c r="O374" s="505"/>
      <c r="P374" s="505"/>
      <c r="Q374" s="505"/>
    </row>
    <row r="375" spans="1:19" x14ac:dyDescent="0.25">
      <c r="A375" s="155"/>
      <c r="B375" s="505"/>
      <c r="C375" s="505" t="e">
        <f>+#REF!</f>
        <v>#REF!</v>
      </c>
      <c r="D375" s="505"/>
      <c r="E375" s="505"/>
      <c r="F375" s="505"/>
      <c r="G375" s="505"/>
      <c r="H375" s="505"/>
      <c r="I375" s="505"/>
      <c r="J375" s="505"/>
      <c r="K375" s="505"/>
      <c r="L375" s="505"/>
      <c r="M375" s="505"/>
      <c r="N375" s="505" t="e">
        <f>+#REF!</f>
        <v>#REF!</v>
      </c>
      <c r="O375" s="505"/>
      <c r="P375" s="505"/>
      <c r="Q375" s="505"/>
    </row>
    <row r="376" spans="1:19" ht="13.8" thickBot="1" x14ac:dyDescent="0.3">
      <c r="A376" s="533"/>
      <c r="B376" s="155"/>
      <c r="C376" s="505"/>
      <c r="D376" s="155"/>
      <c r="E376" s="155"/>
      <c r="F376" s="155"/>
      <c r="G376" s="534"/>
      <c r="H376" s="155"/>
      <c r="I376" s="505"/>
      <c r="J376" s="505"/>
      <c r="K376" s="505"/>
      <c r="L376" s="155"/>
      <c r="M376" s="155"/>
      <c r="N376" s="155"/>
      <c r="O376" s="155"/>
      <c r="P376" s="155"/>
      <c r="Q376" s="155"/>
    </row>
    <row r="377" spans="1:19" ht="14.4" thickTop="1" thickBot="1" x14ac:dyDescent="0.3">
      <c r="A377" s="533"/>
      <c r="B377" s="1132" t="s">
        <v>343</v>
      </c>
      <c r="C377" s="1133"/>
      <c r="D377" s="1132" t="s">
        <v>347</v>
      </c>
      <c r="E377" s="1134"/>
      <c r="F377" s="1134"/>
      <c r="G377" s="1134"/>
      <c r="H377" s="1134"/>
      <c r="I377" s="1135"/>
      <c r="J377" s="1138" t="s">
        <v>360</v>
      </c>
      <c r="K377" s="1139"/>
      <c r="L377" s="578" t="s">
        <v>342</v>
      </c>
      <c r="M377" s="578" t="s">
        <v>341</v>
      </c>
      <c r="N377" s="578" t="s">
        <v>312</v>
      </c>
      <c r="O377" s="591"/>
      <c r="P377" s="591"/>
      <c r="Q377" s="591"/>
      <c r="S377" s="530" t="e">
        <f>+N376+N394+#REF!+#REF!+#REF!+#REF!+#REF!</f>
        <v>#REF!</v>
      </c>
    </row>
    <row r="378" spans="1:19" ht="13.8" thickTop="1" x14ac:dyDescent="0.25">
      <c r="A378" s="533"/>
      <c r="B378" s="519">
        <v>1</v>
      </c>
      <c r="C378" s="518"/>
      <c r="D378" s="546"/>
      <c r="E378" s="545"/>
      <c r="F378" s="545"/>
      <c r="G378" s="545"/>
      <c r="H378" s="545"/>
      <c r="I378" s="556"/>
      <c r="J378" s="557"/>
      <c r="K378" s="594"/>
      <c r="L378" s="558"/>
      <c r="M378" s="530"/>
      <c r="N378" s="530"/>
      <c r="O378" s="505"/>
      <c r="P378" s="505"/>
      <c r="Q378" s="505"/>
    </row>
    <row r="379" spans="1:19" x14ac:dyDescent="0.25">
      <c r="A379" s="533"/>
      <c r="B379" s="516">
        <f t="shared" ref="B379:B384" si="0">+B378+1</f>
        <v>2</v>
      </c>
      <c r="C379" s="515"/>
      <c r="D379" s="559"/>
      <c r="E379" s="560"/>
      <c r="F379" s="560"/>
      <c r="G379" s="560"/>
      <c r="H379" s="560"/>
      <c r="I379" s="561"/>
      <c r="J379" s="562"/>
      <c r="K379" s="595"/>
      <c r="L379" s="563"/>
      <c r="M379" s="528"/>
      <c r="N379" s="528"/>
      <c r="O379" s="505"/>
      <c r="P379" s="505"/>
      <c r="Q379" s="505"/>
    </row>
    <row r="380" spans="1:19" x14ac:dyDescent="0.25">
      <c r="A380" s="533"/>
      <c r="B380" s="516">
        <f t="shared" si="0"/>
        <v>3</v>
      </c>
      <c r="C380" s="515"/>
      <c r="D380" s="559"/>
      <c r="E380" s="515"/>
      <c r="F380" s="515"/>
      <c r="G380" s="515"/>
      <c r="H380" s="515"/>
      <c r="I380" s="514"/>
      <c r="J380" s="562"/>
      <c r="K380" s="567"/>
      <c r="L380" s="563"/>
      <c r="M380" s="528"/>
      <c r="N380" s="528"/>
      <c r="O380" s="505"/>
      <c r="P380" s="505"/>
      <c r="Q380" s="505"/>
    </row>
    <row r="381" spans="1:19" x14ac:dyDescent="0.25">
      <c r="A381" s="533"/>
      <c r="B381" s="516">
        <f t="shared" si="0"/>
        <v>4</v>
      </c>
      <c r="C381" s="515"/>
      <c r="D381" s="559"/>
      <c r="E381" s="515"/>
      <c r="F381" s="515"/>
      <c r="G381" s="515"/>
      <c r="H381" s="515"/>
      <c r="I381" s="514"/>
      <c r="J381" s="562"/>
      <c r="K381" s="567"/>
      <c r="L381" s="563"/>
      <c r="M381" s="528"/>
      <c r="N381" s="528"/>
      <c r="O381" s="505"/>
      <c r="P381" s="505"/>
      <c r="Q381" s="505"/>
    </row>
    <row r="382" spans="1:19" x14ac:dyDescent="0.25">
      <c r="A382" s="533"/>
      <c r="B382" s="516">
        <f t="shared" si="0"/>
        <v>5</v>
      </c>
      <c r="C382" s="515"/>
      <c r="D382" s="544"/>
      <c r="E382" s="515"/>
      <c r="F382" s="515"/>
      <c r="G382" s="515"/>
      <c r="H382" s="515"/>
      <c r="I382" s="514"/>
      <c r="J382" s="564"/>
      <c r="K382" s="568"/>
      <c r="L382" s="565"/>
      <c r="M382" s="528"/>
      <c r="N382" s="528"/>
      <c r="O382" s="505"/>
      <c r="P382" s="505"/>
      <c r="Q382" s="505"/>
    </row>
    <row r="383" spans="1:19" x14ac:dyDescent="0.25">
      <c r="A383" s="533"/>
      <c r="B383" s="516">
        <f t="shared" si="0"/>
        <v>6</v>
      </c>
      <c r="C383" s="515"/>
      <c r="D383" s="544"/>
      <c r="E383" s="515"/>
      <c r="F383" s="515"/>
      <c r="G383" s="515"/>
      <c r="H383" s="515"/>
      <c r="I383" s="514"/>
      <c r="J383" s="564"/>
      <c r="K383" s="568"/>
      <c r="L383" s="565"/>
      <c r="M383" s="528"/>
      <c r="N383" s="528"/>
      <c r="O383" s="505"/>
      <c r="P383" s="505"/>
      <c r="Q383" s="505"/>
    </row>
    <row r="384" spans="1:19" ht="13.8" thickBot="1" x14ac:dyDescent="0.3">
      <c r="A384" s="533"/>
      <c r="B384" s="569">
        <f t="shared" si="0"/>
        <v>7</v>
      </c>
      <c r="C384" s="570"/>
      <c r="D384" s="571"/>
      <c r="E384" s="570"/>
      <c r="F384" s="570"/>
      <c r="G384" s="570"/>
      <c r="H384" s="570"/>
      <c r="I384" s="572"/>
      <c r="J384" s="573"/>
      <c r="K384" s="574"/>
      <c r="L384" s="575"/>
      <c r="M384" s="576"/>
      <c r="N384" s="576"/>
      <c r="O384" s="505"/>
      <c r="P384" s="505"/>
      <c r="Q384" s="505"/>
    </row>
    <row r="385" spans="1:18" ht="13.8" thickTop="1" x14ac:dyDescent="0.25">
      <c r="A385" s="524"/>
      <c r="B385" s="585"/>
      <c r="C385" s="586"/>
      <c r="D385" s="587"/>
      <c r="E385" s="586"/>
      <c r="F385" s="586"/>
      <c r="G385" s="586"/>
      <c r="H385" s="586"/>
      <c r="I385" s="588"/>
      <c r="J385" s="588"/>
      <c r="K385" s="588"/>
      <c r="L385" s="589"/>
      <c r="M385" s="589"/>
      <c r="N385" s="589"/>
      <c r="O385" s="505"/>
      <c r="P385" s="505"/>
      <c r="Q385" s="505"/>
      <c r="R385" s="513"/>
    </row>
    <row r="386" spans="1:18" x14ac:dyDescent="0.25">
      <c r="A386" s="524"/>
      <c r="B386" s="524"/>
      <c r="C386" s="524"/>
      <c r="D386" s="524"/>
      <c r="E386" s="524"/>
      <c r="F386" s="524"/>
      <c r="G386" s="524"/>
      <c r="H386" s="524"/>
      <c r="I386" s="524"/>
      <c r="J386" s="524"/>
      <c r="K386" s="524"/>
      <c r="L386" s="524"/>
      <c r="M386" s="524"/>
      <c r="N386" s="524"/>
      <c r="O386" s="505"/>
      <c r="P386" s="505"/>
      <c r="Q386" s="505"/>
      <c r="R386" s="513"/>
    </row>
    <row r="387" spans="1:18" x14ac:dyDescent="0.25">
      <c r="A387" s="524"/>
      <c r="B387" s="524" t="e">
        <f>+#REF!</f>
        <v>#REF!</v>
      </c>
      <c r="C387" s="524"/>
      <c r="D387" s="524"/>
      <c r="E387" s="524"/>
      <c r="F387" s="524"/>
      <c r="G387" s="524"/>
      <c r="H387" s="524"/>
      <c r="I387" s="524"/>
      <c r="J387" s="524"/>
      <c r="K387" s="524"/>
      <c r="L387" s="524"/>
      <c r="M387" s="524"/>
      <c r="N387" s="524" t="e">
        <f>+#REF!</f>
        <v>#REF!</v>
      </c>
      <c r="O387" s="505"/>
      <c r="P387" s="505"/>
      <c r="Q387" s="505"/>
      <c r="R387" s="513"/>
    </row>
    <row r="388" spans="1:18" x14ac:dyDescent="0.25">
      <c r="A388" s="524"/>
      <c r="B388" s="524"/>
      <c r="C388" s="524" t="e">
        <f>+#REF!</f>
        <v>#REF!</v>
      </c>
      <c r="D388" s="524"/>
      <c r="E388" s="524"/>
      <c r="F388" s="524"/>
      <c r="G388" s="524"/>
      <c r="H388" s="524"/>
      <c r="I388" s="524"/>
      <c r="J388" s="524"/>
      <c r="K388" s="524"/>
      <c r="L388" s="524"/>
      <c r="M388" s="524"/>
      <c r="N388" s="524" t="e">
        <f>+#REF!</f>
        <v>#REF!</v>
      </c>
      <c r="O388" s="505"/>
      <c r="P388" s="505"/>
      <c r="Q388" s="505"/>
      <c r="R388" s="513"/>
    </row>
    <row r="389" spans="1:18" x14ac:dyDescent="0.25">
      <c r="A389" s="524"/>
      <c r="B389" s="524"/>
      <c r="C389" s="524" t="e">
        <f>+#REF!</f>
        <v>#REF!</v>
      </c>
      <c r="D389" s="524"/>
      <c r="E389" s="524"/>
      <c r="F389" s="524"/>
      <c r="G389" s="524"/>
      <c r="H389" s="524"/>
      <c r="I389" s="524"/>
      <c r="J389" s="524"/>
      <c r="K389" s="524"/>
      <c r="L389" s="524"/>
      <c r="M389" s="524"/>
      <c r="N389" s="524" t="e">
        <f>+#REF!</f>
        <v>#REF!</v>
      </c>
      <c r="O389" s="505"/>
      <c r="P389" s="505"/>
      <c r="Q389" s="505"/>
      <c r="R389" s="513"/>
    </row>
    <row r="390" spans="1:18" x14ac:dyDescent="0.25">
      <c r="A390" s="524"/>
      <c r="B390" s="524"/>
      <c r="C390" s="524" t="e">
        <f>+#REF!</f>
        <v>#REF!</v>
      </c>
      <c r="D390" s="524"/>
      <c r="E390" s="524"/>
      <c r="F390" s="524"/>
      <c r="G390" s="524"/>
      <c r="H390" s="524"/>
      <c r="I390" s="524"/>
      <c r="J390" s="524"/>
      <c r="K390" s="524"/>
      <c r="L390" s="524"/>
      <c r="M390" s="524"/>
      <c r="N390" s="524" t="e">
        <f>+#REF!</f>
        <v>#REF!</v>
      </c>
      <c r="O390" s="505"/>
      <c r="P390" s="505"/>
      <c r="Q390" s="505"/>
      <c r="R390" s="513"/>
    </row>
    <row r="391" spans="1:18" x14ac:dyDescent="0.25">
      <c r="A391" s="524"/>
      <c r="B391" s="524"/>
      <c r="C391" s="524" t="e">
        <f>+#REF!</f>
        <v>#REF!</v>
      </c>
      <c r="D391" s="524"/>
      <c r="E391" s="524"/>
      <c r="F391" s="524"/>
      <c r="G391" s="524"/>
      <c r="H391" s="524"/>
      <c r="I391" s="524"/>
      <c r="J391" s="524"/>
      <c r="K391" s="524"/>
      <c r="L391" s="524"/>
      <c r="M391" s="524"/>
      <c r="N391" s="524" t="e">
        <f>+#REF!</f>
        <v>#REF!</v>
      </c>
      <c r="O391" s="505"/>
      <c r="P391" s="505"/>
      <c r="Q391" s="505"/>
      <c r="R391" s="513"/>
    </row>
    <row r="392" spans="1:18" x14ac:dyDescent="0.25">
      <c r="A392" s="524"/>
      <c r="B392" s="524"/>
      <c r="C392" s="524" t="e">
        <f>+#REF!</f>
        <v>#REF!</v>
      </c>
      <c r="D392" s="524"/>
      <c r="E392" s="524"/>
      <c r="F392" s="524"/>
      <c r="G392" s="524"/>
      <c r="H392" s="524"/>
      <c r="I392" s="524"/>
      <c r="J392" s="524"/>
      <c r="K392" s="524"/>
      <c r="L392" s="524"/>
      <c r="M392" s="524"/>
      <c r="N392" s="524" t="e">
        <f>+#REF!</f>
        <v>#REF!</v>
      </c>
      <c r="O392" s="505"/>
      <c r="P392" s="505"/>
      <c r="Q392" s="505"/>
      <c r="R392" s="513"/>
    </row>
    <row r="393" spans="1:18" x14ac:dyDescent="0.25">
      <c r="A393" s="524"/>
      <c r="B393" s="524"/>
      <c r="C393" s="524" t="e">
        <f>+#REF!</f>
        <v>#REF!</v>
      </c>
      <c r="D393" s="524"/>
      <c r="E393" s="524"/>
      <c r="F393" s="524"/>
      <c r="G393" s="524"/>
      <c r="H393" s="524"/>
      <c r="I393" s="524"/>
      <c r="J393" s="524"/>
      <c r="K393" s="524"/>
      <c r="L393" s="524"/>
      <c r="M393" s="524"/>
      <c r="N393" s="524" t="e">
        <f>+#REF!</f>
        <v>#REF!</v>
      </c>
      <c r="O393" s="505"/>
      <c r="P393" s="505"/>
      <c r="Q393" s="505"/>
      <c r="R393" s="513"/>
    </row>
    <row r="394" spans="1:18" x14ac:dyDescent="0.25">
      <c r="A394" s="524"/>
      <c r="B394" s="155"/>
      <c r="C394" s="505"/>
      <c r="D394" s="155"/>
      <c r="E394" s="155"/>
      <c r="F394" s="155"/>
      <c r="G394" s="532"/>
      <c r="H394" s="155"/>
      <c r="I394" s="505"/>
      <c r="J394" s="505"/>
      <c r="K394" s="505"/>
      <c r="L394" s="155"/>
      <c r="M394" s="155"/>
      <c r="N394" s="524" t="e">
        <f>+#REF!</f>
        <v>#REF!</v>
      </c>
      <c r="O394" s="155"/>
      <c r="P394" s="155"/>
      <c r="Q394" s="155"/>
      <c r="R394" s="155"/>
    </row>
    <row r="395" spans="1:18" ht="13.8" thickBot="1" x14ac:dyDescent="0.3">
      <c r="A395" s="524"/>
      <c r="B395" s="1132" t="s">
        <v>343</v>
      </c>
      <c r="C395" s="1133"/>
      <c r="D395" s="1132" t="s">
        <v>347</v>
      </c>
      <c r="E395" s="1134"/>
      <c r="F395" s="1134"/>
      <c r="G395" s="1134"/>
      <c r="H395" s="1134"/>
      <c r="I395" s="1135"/>
      <c r="J395" s="1138" t="s">
        <v>360</v>
      </c>
      <c r="K395" s="1139"/>
      <c r="L395" s="578" t="s">
        <v>342</v>
      </c>
      <c r="M395" s="578" t="s">
        <v>341</v>
      </c>
      <c r="N395" s="578" t="s">
        <v>312</v>
      </c>
      <c r="O395" s="591"/>
      <c r="P395" s="591"/>
      <c r="Q395" s="591"/>
    </row>
    <row r="396" spans="1:18" ht="13.8" thickTop="1" x14ac:dyDescent="0.25">
      <c r="A396" s="524"/>
      <c r="B396" s="519">
        <v>1</v>
      </c>
      <c r="C396" s="518"/>
      <c r="D396" s="529"/>
      <c r="E396" s="515"/>
      <c r="F396" s="515"/>
      <c r="G396" s="515"/>
      <c r="H396" s="515"/>
      <c r="I396" s="517"/>
      <c r="J396" s="557"/>
      <c r="K396" s="595"/>
      <c r="L396" s="563"/>
      <c r="M396" s="530"/>
      <c r="N396" s="530"/>
      <c r="O396" s="505"/>
      <c r="P396" s="505"/>
      <c r="Q396" s="505"/>
    </row>
    <row r="397" spans="1:18" x14ac:dyDescent="0.25">
      <c r="A397" s="524"/>
      <c r="B397" s="516">
        <f t="shared" ref="B397:B406" si="1">+B396+1</f>
        <v>2</v>
      </c>
      <c r="C397" s="515"/>
      <c r="D397" s="529"/>
      <c r="E397" s="515"/>
      <c r="F397" s="515"/>
      <c r="G397" s="515"/>
      <c r="H397" s="515"/>
      <c r="I397" s="514"/>
      <c r="J397" s="562"/>
      <c r="K397" s="595"/>
      <c r="L397" s="563"/>
      <c r="M397" s="528"/>
      <c r="N397" s="528"/>
      <c r="O397" s="505"/>
      <c r="P397" s="505"/>
      <c r="Q397" s="505"/>
    </row>
    <row r="398" spans="1:18" x14ac:dyDescent="0.25">
      <c r="A398" s="524"/>
      <c r="B398" s="516">
        <f t="shared" si="1"/>
        <v>3</v>
      </c>
      <c r="C398" s="515"/>
      <c r="D398" s="529"/>
      <c r="E398" s="515"/>
      <c r="F398" s="515"/>
      <c r="G398" s="515"/>
      <c r="H398" s="515"/>
      <c r="I398" s="514"/>
      <c r="J398" s="562"/>
      <c r="K398" s="595"/>
      <c r="L398" s="563"/>
      <c r="M398" s="528"/>
      <c r="N398" s="528"/>
      <c r="O398" s="505"/>
      <c r="P398" s="505"/>
      <c r="Q398" s="505"/>
    </row>
    <row r="399" spans="1:18" x14ac:dyDescent="0.25">
      <c r="A399" s="524"/>
      <c r="B399" s="516">
        <f t="shared" si="1"/>
        <v>4</v>
      </c>
      <c r="C399" s="515"/>
      <c r="D399" s="529"/>
      <c r="E399" s="515"/>
      <c r="F399" s="515"/>
      <c r="G399" s="515"/>
      <c r="H399" s="515"/>
      <c r="I399" s="514"/>
      <c r="J399" s="562"/>
      <c r="K399" s="595"/>
      <c r="L399" s="563"/>
      <c r="M399" s="528"/>
      <c r="N399" s="528"/>
      <c r="O399" s="505"/>
      <c r="P399" s="505"/>
      <c r="Q399" s="505"/>
    </row>
    <row r="400" spans="1:18" x14ac:dyDescent="0.25">
      <c r="A400" s="524"/>
      <c r="B400" s="516">
        <f t="shared" si="1"/>
        <v>5</v>
      </c>
      <c r="C400" s="515"/>
      <c r="D400" s="529"/>
      <c r="E400" s="515"/>
      <c r="F400" s="515"/>
      <c r="G400" s="515"/>
      <c r="H400" s="515"/>
      <c r="I400" s="514"/>
      <c r="J400" s="562"/>
      <c r="K400" s="595"/>
      <c r="L400" s="563"/>
      <c r="M400" s="528"/>
      <c r="N400" s="528"/>
      <c r="O400" s="505"/>
      <c r="P400" s="505"/>
      <c r="Q400" s="505"/>
    </row>
    <row r="401" spans="1:17" x14ac:dyDescent="0.25">
      <c r="A401" s="524"/>
      <c r="B401" s="516">
        <f t="shared" si="1"/>
        <v>6</v>
      </c>
      <c r="C401" s="515"/>
      <c r="D401" s="529"/>
      <c r="E401" s="515"/>
      <c r="F401" s="515"/>
      <c r="G401" s="515"/>
      <c r="H401" s="515"/>
      <c r="I401" s="514"/>
      <c r="J401" s="562"/>
      <c r="K401" s="595"/>
      <c r="L401" s="563"/>
      <c r="M401" s="528"/>
      <c r="N401" s="528"/>
      <c r="O401" s="505"/>
      <c r="P401" s="505"/>
      <c r="Q401" s="505"/>
    </row>
    <row r="402" spans="1:17" x14ac:dyDescent="0.25">
      <c r="A402" s="524"/>
      <c r="B402" s="566">
        <f t="shared" si="1"/>
        <v>7</v>
      </c>
      <c r="C402" s="515"/>
      <c r="D402" s="529"/>
      <c r="E402" s="515"/>
      <c r="F402" s="515"/>
      <c r="G402" s="515"/>
      <c r="H402" s="515"/>
      <c r="I402" s="514"/>
      <c r="J402" s="562"/>
      <c r="K402" s="595"/>
      <c r="L402" s="563"/>
      <c r="M402" s="528"/>
      <c r="N402" s="528"/>
      <c r="O402" s="505"/>
      <c r="P402" s="505"/>
      <c r="Q402" s="505"/>
    </row>
    <row r="403" spans="1:17" x14ac:dyDescent="0.25">
      <c r="A403" s="524"/>
      <c r="B403" s="566">
        <f t="shared" si="1"/>
        <v>8</v>
      </c>
      <c r="C403" s="515"/>
      <c r="D403" s="529"/>
      <c r="E403" s="515"/>
      <c r="F403" s="515"/>
      <c r="G403" s="515"/>
      <c r="H403" s="515"/>
      <c r="I403" s="514"/>
      <c r="J403" s="562"/>
      <c r="K403" s="595"/>
      <c r="L403" s="563"/>
      <c r="M403" s="528"/>
      <c r="N403" s="528"/>
      <c r="O403" s="505"/>
      <c r="P403" s="505"/>
      <c r="Q403" s="505"/>
    </row>
    <row r="404" spans="1:17" x14ac:dyDescent="0.25">
      <c r="A404" s="524"/>
      <c r="B404" s="566">
        <f t="shared" si="1"/>
        <v>9</v>
      </c>
      <c r="C404" s="515"/>
      <c r="D404" s="529"/>
      <c r="E404" s="515"/>
      <c r="F404" s="515"/>
      <c r="G404" s="515"/>
      <c r="H404" s="515"/>
      <c r="I404" s="514"/>
      <c r="J404" s="562"/>
      <c r="K404" s="595"/>
      <c r="L404" s="563"/>
      <c r="M404" s="528"/>
      <c r="N404" s="528"/>
      <c r="O404" s="505"/>
      <c r="P404" s="505"/>
      <c r="Q404" s="505"/>
    </row>
    <row r="405" spans="1:17" x14ac:dyDescent="0.25">
      <c r="A405" s="524"/>
      <c r="B405" s="566">
        <f t="shared" si="1"/>
        <v>10</v>
      </c>
      <c r="C405" s="515"/>
      <c r="D405" s="529"/>
      <c r="E405" s="515"/>
      <c r="F405" s="515"/>
      <c r="G405" s="515"/>
      <c r="H405" s="515"/>
      <c r="I405" s="514"/>
      <c r="J405" s="562"/>
      <c r="K405" s="599"/>
      <c r="L405" s="563"/>
      <c r="M405" s="528"/>
      <c r="N405" s="528"/>
      <c r="O405" s="505"/>
      <c r="P405" s="505"/>
      <c r="Q405" s="505"/>
    </row>
    <row r="406" spans="1:17" x14ac:dyDescent="0.25">
      <c r="A406" s="524"/>
      <c r="B406" s="566">
        <f t="shared" si="1"/>
        <v>11</v>
      </c>
      <c r="C406" s="515"/>
      <c r="D406" s="516"/>
      <c r="E406" s="515"/>
      <c r="F406" s="515"/>
      <c r="G406" s="515"/>
      <c r="H406" s="515"/>
      <c r="I406" s="514"/>
      <c r="J406" s="514"/>
      <c r="K406" s="514"/>
      <c r="L406" s="528"/>
      <c r="M406" s="528"/>
      <c r="N406" s="528"/>
      <c r="O406" s="505"/>
      <c r="P406" s="505"/>
      <c r="Q406" s="505"/>
    </row>
    <row r="407" spans="1:17" ht="13.8" thickBot="1" x14ac:dyDescent="0.3">
      <c r="A407" s="524"/>
      <c r="B407" s="566"/>
      <c r="C407" s="515"/>
      <c r="D407" s="516"/>
      <c r="E407" s="515"/>
      <c r="F407" s="515"/>
      <c r="G407" s="515"/>
      <c r="H407" s="515"/>
      <c r="I407" s="514"/>
      <c r="J407" s="514"/>
      <c r="K407" s="514"/>
      <c r="L407" s="528"/>
      <c r="M407" s="528"/>
      <c r="N407" s="528"/>
      <c r="O407" s="505"/>
      <c r="P407" s="505"/>
      <c r="Q407" s="505"/>
    </row>
    <row r="408" spans="1:17" ht="14.4" thickTop="1" thickBot="1" x14ac:dyDescent="0.3">
      <c r="A408" s="524"/>
      <c r="B408" s="600"/>
      <c r="C408" s="601"/>
      <c r="D408" s="587"/>
      <c r="E408" s="601"/>
      <c r="F408" s="601"/>
      <c r="G408" s="601"/>
      <c r="H408" s="601"/>
      <c r="I408" s="602"/>
      <c r="J408" s="602"/>
      <c r="K408" s="602"/>
      <c r="L408" s="603"/>
      <c r="M408" s="603"/>
      <c r="N408" s="603"/>
      <c r="O408" s="505"/>
      <c r="P408" s="505"/>
      <c r="Q408" s="505"/>
    </row>
    <row r="409" spans="1:17" ht="13.8" thickTop="1" x14ac:dyDescent="0.25">
      <c r="A409" s="524"/>
      <c r="B409" s="505"/>
      <c r="C409" s="505"/>
      <c r="D409" s="505"/>
      <c r="E409" s="505"/>
      <c r="F409" s="505"/>
      <c r="G409" s="505"/>
      <c r="H409" s="505"/>
      <c r="I409" s="505"/>
      <c r="J409" s="505"/>
      <c r="K409" s="505"/>
      <c r="L409" s="505"/>
      <c r="M409" s="505"/>
      <c r="N409" s="505"/>
      <c r="O409" s="505"/>
      <c r="P409" s="505"/>
      <c r="Q409" s="505"/>
    </row>
    <row r="410" spans="1:17" x14ac:dyDescent="0.25">
      <c r="L410" s="155"/>
      <c r="M410" s="155"/>
      <c r="N410" s="155"/>
      <c r="O410" s="155"/>
      <c r="P410" s="155"/>
      <c r="Q410" s="155"/>
    </row>
    <row r="411" spans="1:17" x14ac:dyDescent="0.25">
      <c r="L411" s="155"/>
      <c r="M411" s="155"/>
      <c r="N411" s="155"/>
      <c r="O411" s="155"/>
      <c r="P411" s="155"/>
      <c r="Q411" s="155"/>
    </row>
    <row r="412" spans="1:17" x14ac:dyDescent="0.25">
      <c r="L412" s="155"/>
      <c r="M412" s="155"/>
      <c r="N412" s="155"/>
      <c r="O412" s="155"/>
      <c r="P412" s="155"/>
      <c r="Q412" s="155"/>
    </row>
    <row r="413" spans="1:17" x14ac:dyDescent="0.25">
      <c r="L413" s="155"/>
      <c r="M413" s="155"/>
      <c r="N413" s="155"/>
      <c r="O413" s="155"/>
      <c r="P413" s="155"/>
      <c r="Q413" s="155"/>
    </row>
    <row r="414" spans="1:17" x14ac:dyDescent="0.25">
      <c r="L414" s="155"/>
      <c r="M414" s="155"/>
      <c r="N414" s="155"/>
      <c r="O414" s="155"/>
      <c r="P414" s="155"/>
      <c r="Q414" s="155"/>
    </row>
    <row r="415" spans="1:17" x14ac:dyDescent="0.25">
      <c r="L415" s="155"/>
      <c r="M415" s="155"/>
      <c r="N415" s="155"/>
      <c r="O415" s="155"/>
      <c r="P415" s="155"/>
      <c r="Q415" s="155"/>
    </row>
    <row r="416" spans="1:17" x14ac:dyDescent="0.25">
      <c r="L416" s="155"/>
      <c r="M416" s="155"/>
      <c r="N416" s="155"/>
      <c r="O416" s="155"/>
      <c r="P416" s="155"/>
      <c r="Q416" s="155"/>
    </row>
    <row r="417" spans="12:17" x14ac:dyDescent="0.25">
      <c r="L417" s="155"/>
      <c r="M417" s="155"/>
      <c r="N417" s="155"/>
      <c r="O417" s="155"/>
      <c r="P417" s="155"/>
      <c r="Q417" s="155"/>
    </row>
    <row r="418" spans="12:17" x14ac:dyDescent="0.25">
      <c r="L418" s="155"/>
      <c r="M418" s="155"/>
      <c r="N418" s="155"/>
      <c r="O418" s="155"/>
      <c r="P418" s="155"/>
      <c r="Q418" s="155"/>
    </row>
    <row r="419" spans="12:17" x14ac:dyDescent="0.25">
      <c r="L419" s="155"/>
      <c r="M419" s="155"/>
      <c r="N419" s="155"/>
      <c r="O419" s="155"/>
      <c r="P419" s="155"/>
      <c r="Q419" s="155"/>
    </row>
    <row r="420" spans="12:17" x14ac:dyDescent="0.25">
      <c r="L420" s="155"/>
      <c r="M420" s="155"/>
      <c r="N420" s="155"/>
      <c r="O420" s="155"/>
      <c r="P420" s="155"/>
      <c r="Q420" s="155"/>
    </row>
    <row r="421" spans="12:17" x14ac:dyDescent="0.25">
      <c r="L421" s="155"/>
      <c r="M421" s="155"/>
      <c r="N421" s="155"/>
      <c r="O421" s="155"/>
      <c r="P421" s="155"/>
      <c r="Q421" s="155"/>
    </row>
    <row r="422" spans="12:17" x14ac:dyDescent="0.25">
      <c r="L422" s="155"/>
      <c r="M422" s="155"/>
      <c r="N422" s="155"/>
      <c r="O422" s="155"/>
      <c r="P422" s="155"/>
      <c r="Q422" s="155"/>
    </row>
    <row r="423" spans="12:17" x14ac:dyDescent="0.25">
      <c r="L423" s="155"/>
      <c r="M423" s="155"/>
      <c r="N423" s="155"/>
      <c r="O423" s="155"/>
      <c r="P423" s="155"/>
      <c r="Q423" s="155"/>
    </row>
    <row r="424" spans="12:17" x14ac:dyDescent="0.25">
      <c r="L424" s="155"/>
      <c r="M424" s="155"/>
      <c r="N424" s="155"/>
      <c r="O424" s="155"/>
      <c r="P424" s="155"/>
      <c r="Q424" s="155"/>
    </row>
    <row r="425" spans="12:17" x14ac:dyDescent="0.25">
      <c r="L425" s="155"/>
      <c r="M425" s="155"/>
      <c r="N425" s="155"/>
      <c r="O425" s="155"/>
      <c r="P425" s="155"/>
      <c r="Q425" s="155"/>
    </row>
    <row r="426" spans="12:17" x14ac:dyDescent="0.25">
      <c r="L426" s="155"/>
      <c r="M426" s="155"/>
      <c r="N426" s="155"/>
      <c r="O426" s="155"/>
      <c r="P426" s="155"/>
      <c r="Q426" s="155"/>
    </row>
    <row r="427" spans="12:17" x14ac:dyDescent="0.25">
      <c r="L427" s="155"/>
      <c r="M427" s="155"/>
      <c r="N427" s="155"/>
      <c r="O427" s="155"/>
      <c r="P427" s="155"/>
      <c r="Q427" s="155"/>
    </row>
    <row r="428" spans="12:17" x14ac:dyDescent="0.25">
      <c r="L428" s="155"/>
      <c r="M428" s="155"/>
      <c r="N428" s="155"/>
      <c r="O428" s="155"/>
      <c r="P428" s="155"/>
      <c r="Q428" s="155"/>
    </row>
    <row r="429" spans="12:17" x14ac:dyDescent="0.25">
      <c r="L429" s="155"/>
      <c r="M429" s="155"/>
      <c r="N429" s="155"/>
      <c r="O429" s="155"/>
      <c r="P429" s="155"/>
      <c r="Q429" s="155"/>
    </row>
    <row r="430" spans="12:17" x14ac:dyDescent="0.25">
      <c r="L430" s="155"/>
      <c r="M430" s="155"/>
      <c r="N430" s="155"/>
      <c r="O430" s="155"/>
      <c r="P430" s="155"/>
      <c r="Q430" s="155"/>
    </row>
    <row r="431" spans="12:17" x14ac:dyDescent="0.25">
      <c r="L431" s="155"/>
      <c r="M431" s="155"/>
      <c r="N431" s="155"/>
      <c r="O431" s="155"/>
      <c r="P431" s="155"/>
      <c r="Q431" s="155"/>
    </row>
    <row r="432" spans="12:17" x14ac:dyDescent="0.25">
      <c r="L432" s="155"/>
      <c r="M432" s="155"/>
      <c r="N432" s="155"/>
      <c r="O432" s="155"/>
      <c r="P432" s="155"/>
      <c r="Q432" s="155"/>
    </row>
    <row r="433" spans="12:17" x14ac:dyDescent="0.25">
      <c r="L433" s="155"/>
      <c r="M433" s="155"/>
      <c r="N433" s="155"/>
      <c r="O433" s="155"/>
      <c r="P433" s="155"/>
      <c r="Q433" s="155"/>
    </row>
    <row r="434" spans="12:17" x14ac:dyDescent="0.25">
      <c r="L434" s="155"/>
      <c r="M434" s="155"/>
      <c r="N434" s="155"/>
      <c r="O434" s="155"/>
      <c r="P434" s="155"/>
      <c r="Q434" s="155"/>
    </row>
    <row r="435" spans="12:17" x14ac:dyDescent="0.25">
      <c r="L435" s="155"/>
      <c r="M435" s="155"/>
      <c r="N435" s="155"/>
      <c r="O435" s="155"/>
      <c r="P435" s="155"/>
      <c r="Q435" s="155"/>
    </row>
    <row r="436" spans="12:17" x14ac:dyDescent="0.25">
      <c r="L436" s="155"/>
      <c r="M436" s="155"/>
      <c r="N436" s="155"/>
      <c r="O436" s="155"/>
      <c r="P436" s="155"/>
      <c r="Q436" s="155"/>
    </row>
    <row r="437" spans="12:17" x14ac:dyDescent="0.25">
      <c r="L437" s="155"/>
      <c r="M437" s="155"/>
      <c r="N437" s="155"/>
      <c r="O437" s="155"/>
      <c r="P437" s="155"/>
      <c r="Q437" s="155"/>
    </row>
    <row r="438" spans="12:17" x14ac:dyDescent="0.25">
      <c r="L438" s="155"/>
      <c r="M438" s="155"/>
      <c r="N438" s="155"/>
      <c r="O438" s="155"/>
      <c r="P438" s="155"/>
      <c r="Q438" s="155"/>
    </row>
    <row r="439" spans="12:17" x14ac:dyDescent="0.25">
      <c r="L439" s="155"/>
      <c r="M439" s="155"/>
      <c r="N439" s="155"/>
      <c r="O439" s="155"/>
      <c r="P439" s="155"/>
      <c r="Q439" s="155"/>
    </row>
    <row r="440" spans="12:17" x14ac:dyDescent="0.25">
      <c r="L440" s="155"/>
      <c r="M440" s="155"/>
      <c r="N440" s="155"/>
      <c r="O440" s="155"/>
      <c r="P440" s="155"/>
      <c r="Q440" s="155"/>
    </row>
    <row r="441" spans="12:17" x14ac:dyDescent="0.25">
      <c r="L441" s="155"/>
      <c r="M441" s="155"/>
      <c r="N441" s="155"/>
      <c r="O441" s="155"/>
      <c r="P441" s="155"/>
      <c r="Q441" s="155"/>
    </row>
    <row r="442" spans="12:17" x14ac:dyDescent="0.25">
      <c r="L442" s="155"/>
      <c r="M442" s="155"/>
      <c r="N442" s="155"/>
      <c r="O442" s="155"/>
      <c r="P442" s="155"/>
      <c r="Q442" s="155"/>
    </row>
    <row r="443" spans="12:17" x14ac:dyDescent="0.25">
      <c r="L443" s="155"/>
      <c r="M443" s="155"/>
      <c r="N443" s="155"/>
      <c r="O443" s="155"/>
      <c r="P443" s="155"/>
      <c r="Q443" s="155"/>
    </row>
    <row r="444" spans="12:17" x14ac:dyDescent="0.25">
      <c r="L444" s="155"/>
      <c r="M444" s="155"/>
      <c r="N444" s="155"/>
      <c r="O444" s="155"/>
      <c r="P444" s="155"/>
      <c r="Q444" s="155"/>
    </row>
    <row r="445" spans="12:17" x14ac:dyDescent="0.25">
      <c r="L445" s="155"/>
      <c r="M445" s="155"/>
      <c r="N445" s="155"/>
      <c r="O445" s="155"/>
      <c r="P445" s="155"/>
      <c r="Q445" s="155"/>
    </row>
    <row r="446" spans="12:17" x14ac:dyDescent="0.25">
      <c r="L446" s="155"/>
      <c r="M446" s="155"/>
      <c r="N446" s="155"/>
      <c r="O446" s="155"/>
      <c r="P446" s="155"/>
      <c r="Q446" s="155"/>
    </row>
    <row r="447" spans="12:17" x14ac:dyDescent="0.25">
      <c r="L447" s="155"/>
      <c r="M447" s="155"/>
      <c r="N447" s="155"/>
      <c r="O447" s="155"/>
      <c r="P447" s="155"/>
      <c r="Q447" s="155"/>
    </row>
    <row r="448" spans="12:17" x14ac:dyDescent="0.25">
      <c r="L448" s="155"/>
      <c r="M448" s="155"/>
      <c r="N448" s="155"/>
      <c r="O448" s="155"/>
      <c r="P448" s="155"/>
      <c r="Q448" s="155"/>
    </row>
    <row r="449" spans="12:17" x14ac:dyDescent="0.25">
      <c r="L449" s="155"/>
      <c r="M449" s="155"/>
      <c r="N449" s="155"/>
      <c r="O449" s="155"/>
      <c r="P449" s="155"/>
      <c r="Q449" s="155"/>
    </row>
    <row r="450" spans="12:17" x14ac:dyDescent="0.25">
      <c r="L450" s="155"/>
      <c r="M450" s="155"/>
      <c r="N450" s="155"/>
      <c r="O450" s="155"/>
      <c r="P450" s="155"/>
      <c r="Q450" s="155"/>
    </row>
    <row r="451" spans="12:17" x14ac:dyDescent="0.25">
      <c r="L451" s="155"/>
      <c r="M451" s="155"/>
      <c r="N451" s="155"/>
      <c r="O451" s="155"/>
      <c r="P451" s="155"/>
      <c r="Q451" s="155"/>
    </row>
    <row r="452" spans="12:17" x14ac:dyDescent="0.25">
      <c r="L452" s="155"/>
      <c r="M452" s="155"/>
      <c r="N452" s="155"/>
      <c r="O452" s="155"/>
      <c r="P452" s="155"/>
      <c r="Q452" s="155"/>
    </row>
    <row r="453" spans="12:17" x14ac:dyDescent="0.25">
      <c r="L453" s="155"/>
      <c r="M453" s="155"/>
      <c r="N453" s="155"/>
      <c r="O453" s="155"/>
      <c r="P453" s="155"/>
      <c r="Q453" s="155"/>
    </row>
    <row r="454" spans="12:17" x14ac:dyDescent="0.25">
      <c r="L454" s="155"/>
      <c r="M454" s="155"/>
      <c r="N454" s="155"/>
      <c r="O454" s="155"/>
      <c r="P454" s="155"/>
      <c r="Q454" s="155"/>
    </row>
    <row r="455" spans="12:17" x14ac:dyDescent="0.25">
      <c r="L455" s="155"/>
      <c r="M455" s="155"/>
      <c r="N455" s="155"/>
      <c r="O455" s="155"/>
      <c r="P455" s="155"/>
      <c r="Q455" s="155"/>
    </row>
    <row r="456" spans="12:17" x14ac:dyDescent="0.25">
      <c r="L456" s="155"/>
      <c r="M456" s="155"/>
      <c r="N456" s="155"/>
      <c r="O456" s="155"/>
      <c r="P456" s="155"/>
      <c r="Q456" s="155"/>
    </row>
    <row r="457" spans="12:17" x14ac:dyDescent="0.25">
      <c r="L457" s="155"/>
      <c r="M457" s="155"/>
      <c r="N457" s="155"/>
      <c r="O457" s="155"/>
      <c r="P457" s="155"/>
      <c r="Q457" s="155"/>
    </row>
    <row r="458" spans="12:17" x14ac:dyDescent="0.25">
      <c r="L458" s="155"/>
      <c r="M458" s="155"/>
      <c r="N458" s="155"/>
      <c r="O458" s="155"/>
      <c r="P458" s="155"/>
      <c r="Q458" s="155"/>
    </row>
    <row r="459" spans="12:17" x14ac:dyDescent="0.25">
      <c r="L459" s="155"/>
      <c r="M459" s="155"/>
      <c r="N459" s="155"/>
      <c r="O459" s="155"/>
      <c r="P459" s="155"/>
      <c r="Q459" s="155"/>
    </row>
    <row r="460" spans="12:17" x14ac:dyDescent="0.25">
      <c r="L460" s="155"/>
      <c r="M460" s="155"/>
      <c r="N460" s="155"/>
      <c r="O460" s="155"/>
      <c r="P460" s="155"/>
      <c r="Q460" s="155"/>
    </row>
    <row r="461" spans="12:17" x14ac:dyDescent="0.25">
      <c r="L461" s="155"/>
      <c r="M461" s="155"/>
      <c r="N461" s="155"/>
      <c r="O461" s="155"/>
      <c r="P461" s="155"/>
      <c r="Q461" s="155"/>
    </row>
    <row r="462" spans="12:17" x14ac:dyDescent="0.25">
      <c r="L462" s="155"/>
      <c r="M462" s="155"/>
      <c r="N462" s="155"/>
      <c r="O462" s="155"/>
      <c r="P462" s="155"/>
      <c r="Q462" s="155"/>
    </row>
    <row r="463" spans="12:17" x14ac:dyDescent="0.25">
      <c r="L463" s="155"/>
      <c r="M463" s="155"/>
      <c r="N463" s="155"/>
      <c r="O463" s="155"/>
      <c r="P463" s="155"/>
      <c r="Q463" s="155"/>
    </row>
    <row r="464" spans="12:17" x14ac:dyDescent="0.25">
      <c r="L464" s="155"/>
      <c r="M464" s="155"/>
      <c r="N464" s="155"/>
      <c r="O464" s="155"/>
      <c r="P464" s="155"/>
      <c r="Q464" s="155"/>
    </row>
    <row r="465" spans="12:17" x14ac:dyDescent="0.25">
      <c r="L465" s="155"/>
      <c r="M465" s="155"/>
      <c r="N465" s="155"/>
      <c r="O465" s="155"/>
      <c r="P465" s="155"/>
      <c r="Q465" s="155"/>
    </row>
    <row r="466" spans="12:17" x14ac:dyDescent="0.25">
      <c r="L466" s="155"/>
      <c r="M466" s="155"/>
      <c r="N466" s="155"/>
      <c r="O466" s="155"/>
      <c r="P466" s="155"/>
      <c r="Q466" s="155"/>
    </row>
    <row r="467" spans="12:17" x14ac:dyDescent="0.25">
      <c r="L467" s="155"/>
      <c r="M467" s="155"/>
      <c r="N467" s="155"/>
      <c r="O467" s="155"/>
      <c r="P467" s="155"/>
      <c r="Q467" s="155"/>
    </row>
    <row r="468" spans="12:17" x14ac:dyDescent="0.25">
      <c r="L468" s="155"/>
      <c r="M468" s="155"/>
      <c r="N468" s="155"/>
      <c r="O468" s="155"/>
      <c r="P468" s="155"/>
      <c r="Q468" s="155"/>
    </row>
    <row r="469" spans="12:17" x14ac:dyDescent="0.25">
      <c r="L469" s="155"/>
      <c r="M469" s="155"/>
      <c r="N469" s="155"/>
      <c r="O469" s="155"/>
      <c r="P469" s="155"/>
      <c r="Q469" s="155"/>
    </row>
    <row r="470" spans="12:17" x14ac:dyDescent="0.25">
      <c r="L470" s="155"/>
      <c r="M470" s="155"/>
      <c r="N470" s="155"/>
      <c r="O470" s="155"/>
      <c r="P470" s="155"/>
      <c r="Q470" s="155"/>
    </row>
    <row r="471" spans="12:17" x14ac:dyDescent="0.25">
      <c r="L471" s="155"/>
      <c r="M471" s="155"/>
      <c r="N471" s="155"/>
      <c r="O471" s="155"/>
      <c r="P471" s="155"/>
      <c r="Q471" s="155"/>
    </row>
    <row r="472" spans="12:17" x14ac:dyDescent="0.25">
      <c r="L472" s="155"/>
      <c r="M472" s="155"/>
      <c r="N472" s="155"/>
      <c r="O472" s="155"/>
      <c r="P472" s="155"/>
      <c r="Q472" s="155"/>
    </row>
    <row r="473" spans="12:17" x14ac:dyDescent="0.25">
      <c r="L473" s="155"/>
      <c r="M473" s="155"/>
      <c r="N473" s="155"/>
      <c r="O473" s="155"/>
      <c r="P473" s="155"/>
      <c r="Q473" s="155"/>
    </row>
    <row r="474" spans="12:17" x14ac:dyDescent="0.25">
      <c r="L474" s="155"/>
      <c r="M474" s="155"/>
      <c r="N474" s="155"/>
      <c r="O474" s="155"/>
      <c r="P474" s="155"/>
      <c r="Q474" s="155"/>
    </row>
    <row r="475" spans="12:17" x14ac:dyDescent="0.25">
      <c r="L475" s="155"/>
      <c r="M475" s="155"/>
      <c r="N475" s="155"/>
      <c r="O475" s="155"/>
      <c r="P475" s="155"/>
      <c r="Q475" s="155"/>
    </row>
    <row r="476" spans="12:17" x14ac:dyDescent="0.25">
      <c r="L476" s="155"/>
      <c r="M476" s="155"/>
      <c r="N476" s="155"/>
      <c r="O476" s="155"/>
      <c r="P476" s="155"/>
      <c r="Q476" s="155"/>
    </row>
    <row r="477" spans="12:17" x14ac:dyDescent="0.25">
      <c r="L477" s="155"/>
      <c r="M477" s="155"/>
      <c r="N477" s="155"/>
      <c r="O477" s="155"/>
      <c r="P477" s="155"/>
      <c r="Q477" s="155"/>
    </row>
    <row r="478" spans="12:17" x14ac:dyDescent="0.25">
      <c r="L478" s="155"/>
      <c r="M478" s="155"/>
      <c r="N478" s="155"/>
      <c r="O478" s="155"/>
      <c r="P478" s="155"/>
      <c r="Q478" s="155"/>
    </row>
    <row r="479" spans="12:17" x14ac:dyDescent="0.25">
      <c r="L479" s="155"/>
      <c r="M479" s="155"/>
      <c r="N479" s="155"/>
      <c r="O479" s="155"/>
      <c r="P479" s="155"/>
      <c r="Q479" s="155"/>
    </row>
    <row r="480" spans="12:17" x14ac:dyDescent="0.25">
      <c r="L480" s="155"/>
      <c r="M480" s="155"/>
      <c r="N480" s="155"/>
      <c r="O480" s="155"/>
      <c r="P480" s="155"/>
      <c r="Q480" s="155"/>
    </row>
    <row r="481" spans="12:17" x14ac:dyDescent="0.25">
      <c r="L481" s="155"/>
      <c r="M481" s="155"/>
      <c r="N481" s="155"/>
      <c r="O481" s="155"/>
      <c r="P481" s="155"/>
      <c r="Q481" s="155"/>
    </row>
    <row r="482" spans="12:17" x14ac:dyDescent="0.25">
      <c r="L482" s="155"/>
      <c r="M482" s="155"/>
      <c r="N482" s="155"/>
      <c r="O482" s="155"/>
      <c r="P482" s="155"/>
      <c r="Q482" s="155"/>
    </row>
    <row r="483" spans="12:17" x14ac:dyDescent="0.25">
      <c r="L483" s="155"/>
      <c r="M483" s="155"/>
      <c r="N483" s="155"/>
      <c r="O483" s="155"/>
      <c r="P483" s="155"/>
      <c r="Q483" s="155"/>
    </row>
    <row r="484" spans="12:17" x14ac:dyDescent="0.25">
      <c r="L484" s="155"/>
      <c r="M484" s="155"/>
      <c r="N484" s="155"/>
      <c r="O484" s="155"/>
      <c r="P484" s="155"/>
      <c r="Q484" s="155"/>
    </row>
    <row r="485" spans="12:17" x14ac:dyDescent="0.25">
      <c r="L485" s="155"/>
      <c r="M485" s="155"/>
      <c r="N485" s="155"/>
      <c r="O485" s="155"/>
      <c r="P485" s="155"/>
      <c r="Q485" s="155"/>
    </row>
    <row r="486" spans="12:17" x14ac:dyDescent="0.25">
      <c r="L486" s="155"/>
      <c r="M486" s="155"/>
      <c r="N486" s="155"/>
      <c r="O486" s="155"/>
      <c r="P486" s="155"/>
      <c r="Q486" s="155"/>
    </row>
    <row r="487" spans="12:17" x14ac:dyDescent="0.25">
      <c r="L487" s="155"/>
      <c r="M487" s="155"/>
      <c r="N487" s="155"/>
      <c r="O487" s="155"/>
      <c r="P487" s="155"/>
      <c r="Q487" s="155"/>
    </row>
    <row r="488" spans="12:17" x14ac:dyDescent="0.25">
      <c r="L488" s="155"/>
      <c r="M488" s="155"/>
      <c r="N488" s="155"/>
      <c r="O488" s="155"/>
      <c r="P488" s="155"/>
      <c r="Q488" s="155"/>
    </row>
  </sheetData>
  <mergeCells count="76">
    <mergeCell ref="J377:K377"/>
    <mergeCell ref="J395:K395"/>
    <mergeCell ref="J113:K113"/>
    <mergeCell ref="J123:K123"/>
    <mergeCell ref="B361:C361"/>
    <mergeCell ref="D361:I361"/>
    <mergeCell ref="J152:K152"/>
    <mergeCell ref="J161:K161"/>
    <mergeCell ref="J183:K183"/>
    <mergeCell ref="J209:K209"/>
    <mergeCell ref="J226:K226"/>
    <mergeCell ref="J238:K238"/>
    <mergeCell ref="J261:K261"/>
    <mergeCell ref="J285:K285"/>
    <mergeCell ref="J310:K310"/>
    <mergeCell ref="J322:K322"/>
    <mergeCell ref="J347:K347"/>
    <mergeCell ref="J361:K361"/>
    <mergeCell ref="J59:K59"/>
    <mergeCell ref="J49:K49"/>
    <mergeCell ref="J37:K37"/>
    <mergeCell ref="J102:K102"/>
    <mergeCell ref="J25:K25"/>
    <mergeCell ref="J16:K16"/>
    <mergeCell ref="J68:K68"/>
    <mergeCell ref="J76:K76"/>
    <mergeCell ref="J94:K94"/>
    <mergeCell ref="B1:N1"/>
    <mergeCell ref="B347:C347"/>
    <mergeCell ref="D347:I347"/>
    <mergeCell ref="B226:C226"/>
    <mergeCell ref="D226:I226"/>
    <mergeCell ref="B238:C238"/>
    <mergeCell ref="D238:I238"/>
    <mergeCell ref="B261:C261"/>
    <mergeCell ref="D261:I261"/>
    <mergeCell ref="B161:C161"/>
    <mergeCell ref="D161:I161"/>
    <mergeCell ref="B183:C183"/>
    <mergeCell ref="D183:I183"/>
    <mergeCell ref="B209:C209"/>
    <mergeCell ref="D209:I209"/>
    <mergeCell ref="B113:C113"/>
    <mergeCell ref="B285:C285"/>
    <mergeCell ref="D285:I285"/>
    <mergeCell ref="B310:C310"/>
    <mergeCell ref="D310:I310"/>
    <mergeCell ref="B322:C322"/>
    <mergeCell ref="D322:I322"/>
    <mergeCell ref="D76:I76"/>
    <mergeCell ref="B94:C94"/>
    <mergeCell ref="D94:I94"/>
    <mergeCell ref="B102:C102"/>
    <mergeCell ref="D102:I102"/>
    <mergeCell ref="B16:C16"/>
    <mergeCell ref="D16:I16"/>
    <mergeCell ref="B25:C25"/>
    <mergeCell ref="D25:I25"/>
    <mergeCell ref="B37:C37"/>
    <mergeCell ref="D37:I37"/>
    <mergeCell ref="B395:C395"/>
    <mergeCell ref="D395:I395"/>
    <mergeCell ref="B377:C377"/>
    <mergeCell ref="D377:I377"/>
    <mergeCell ref="B49:C49"/>
    <mergeCell ref="D49:I49"/>
    <mergeCell ref="B59:C59"/>
    <mergeCell ref="D59:I59"/>
    <mergeCell ref="B68:C68"/>
    <mergeCell ref="D68:I68"/>
    <mergeCell ref="D113:I113"/>
    <mergeCell ref="B123:C123"/>
    <mergeCell ref="D123:I123"/>
    <mergeCell ref="B152:C152"/>
    <mergeCell ref="D152:I152"/>
    <mergeCell ref="B76:C76"/>
  </mergeCells>
  <printOptions horizontalCentered="1"/>
  <pageMargins left="0.70866141732283472" right="0" top="0.74803149606299213" bottom="0.35433070866141736" header="0.31496062992125984" footer="0.31496062992125984"/>
  <pageSetup paperSize="9" scale="8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L28" sqref="L28"/>
    </sheetView>
  </sheetViews>
  <sheetFormatPr defaultRowHeight="13.2" x14ac:dyDescent="0.25"/>
  <cols>
    <col min="1" max="1" width="1.44140625" customWidth="1"/>
    <col min="2" max="10" width="3.6640625" customWidth="1"/>
  </cols>
  <sheetData>
    <row r="2" spans="2:11" x14ac:dyDescent="0.25">
      <c r="B2" t="s">
        <v>369</v>
      </c>
    </row>
    <row r="4" spans="2:11" x14ac:dyDescent="0.25">
      <c r="B4">
        <v>5</v>
      </c>
      <c r="K4" t="s">
        <v>2</v>
      </c>
    </row>
    <row r="5" spans="2:11" x14ac:dyDescent="0.25">
      <c r="B5">
        <v>5</v>
      </c>
      <c r="C5">
        <v>2</v>
      </c>
      <c r="K5" t="s">
        <v>120</v>
      </c>
    </row>
    <row r="6" spans="2:11" x14ac:dyDescent="0.25">
      <c r="B6">
        <v>5</v>
      </c>
      <c r="C6">
        <v>2</v>
      </c>
      <c r="D6">
        <v>1</v>
      </c>
      <c r="K6" t="s">
        <v>358</v>
      </c>
    </row>
    <row r="7" spans="2:11" x14ac:dyDescent="0.25">
      <c r="B7">
        <v>5</v>
      </c>
      <c r="C7">
        <v>2</v>
      </c>
      <c r="D7">
        <v>1</v>
      </c>
      <c r="E7" s="657" t="s">
        <v>5</v>
      </c>
      <c r="K7" t="s">
        <v>370</v>
      </c>
    </row>
    <row r="8" spans="2:11" x14ac:dyDescent="0.25">
      <c r="B8">
        <v>5</v>
      </c>
      <c r="C8">
        <v>2</v>
      </c>
      <c r="D8">
        <v>1</v>
      </c>
      <c r="E8" s="657" t="s">
        <v>5</v>
      </c>
      <c r="F8" s="657" t="s">
        <v>5</v>
      </c>
      <c r="K8" t="s">
        <v>371</v>
      </c>
    </row>
    <row r="10" spans="2:11" x14ac:dyDescent="0.25">
      <c r="B10">
        <v>5</v>
      </c>
      <c r="C10">
        <v>2</v>
      </c>
      <c r="D10">
        <v>2</v>
      </c>
      <c r="K10" t="s">
        <v>11</v>
      </c>
    </row>
    <row r="11" spans="2:11" x14ac:dyDescent="0.25">
      <c r="B11">
        <v>5</v>
      </c>
      <c r="C11">
        <v>2</v>
      </c>
      <c r="D11">
        <v>2</v>
      </c>
      <c r="E11" s="657" t="s">
        <v>5</v>
      </c>
      <c r="K11" t="s">
        <v>372</v>
      </c>
    </row>
    <row r="12" spans="2:11" x14ac:dyDescent="0.25">
      <c r="B12">
        <v>5</v>
      </c>
      <c r="C12">
        <v>2</v>
      </c>
      <c r="D12">
        <v>2</v>
      </c>
      <c r="E12" s="657" t="s">
        <v>5</v>
      </c>
      <c r="F12" s="657" t="s">
        <v>5</v>
      </c>
      <c r="K12" t="s">
        <v>373</v>
      </c>
    </row>
    <row r="13" spans="2:11" x14ac:dyDescent="0.25">
      <c r="B13">
        <v>5</v>
      </c>
      <c r="C13">
        <v>2</v>
      </c>
      <c r="D13">
        <v>2</v>
      </c>
      <c r="E13" s="657" t="s">
        <v>10</v>
      </c>
      <c r="F13" s="657" t="s">
        <v>12</v>
      </c>
      <c r="K13" t="s">
        <v>374</v>
      </c>
    </row>
    <row r="14" spans="2:11" x14ac:dyDescent="0.25">
      <c r="B14">
        <v>5</v>
      </c>
      <c r="C14">
        <v>2</v>
      </c>
      <c r="D14">
        <v>2</v>
      </c>
      <c r="E14" s="657" t="s">
        <v>12</v>
      </c>
      <c r="K14" t="s">
        <v>375</v>
      </c>
    </row>
    <row r="15" spans="2:11" x14ac:dyDescent="0.25">
      <c r="F15" s="657" t="s">
        <v>5</v>
      </c>
      <c r="K15" t="s">
        <v>376</v>
      </c>
    </row>
    <row r="16" spans="2:11" x14ac:dyDescent="0.25">
      <c r="F16" s="657" t="s">
        <v>10</v>
      </c>
      <c r="K16" t="s">
        <v>377</v>
      </c>
    </row>
    <row r="17" spans="2:11" x14ac:dyDescent="0.25">
      <c r="F17" s="657" t="s">
        <v>52</v>
      </c>
      <c r="K17" t="s">
        <v>378</v>
      </c>
    </row>
    <row r="19" spans="2:11" x14ac:dyDescent="0.25">
      <c r="B19">
        <v>5</v>
      </c>
      <c r="C19">
        <v>2</v>
      </c>
      <c r="D19">
        <v>2</v>
      </c>
      <c r="E19" s="657">
        <v>15</v>
      </c>
      <c r="K19" t="s">
        <v>379</v>
      </c>
    </row>
    <row r="21" spans="2:11" x14ac:dyDescent="0.25">
      <c r="B21">
        <v>5</v>
      </c>
      <c r="C21">
        <v>2</v>
      </c>
      <c r="D21">
        <v>2</v>
      </c>
      <c r="E21">
        <v>21</v>
      </c>
      <c r="K21" t="s">
        <v>380</v>
      </c>
    </row>
    <row r="22" spans="2:11" x14ac:dyDescent="0.25">
      <c r="F22" s="657" t="s">
        <v>10</v>
      </c>
      <c r="K22" t="s">
        <v>381</v>
      </c>
    </row>
    <row r="23" spans="2:11" x14ac:dyDescent="0.25">
      <c r="F23" s="657" t="s">
        <v>52</v>
      </c>
      <c r="K2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RPU</vt:lpstr>
      <vt:lpstr>Indeks Kinerja</vt:lpstr>
      <vt:lpstr>Kerusakan Fisik</vt:lpstr>
      <vt:lpstr>kurva S</vt:lpstr>
      <vt:lpstr>buku bantu-26.25</vt:lpstr>
      <vt:lpstr>Korekg</vt:lpstr>
      <vt:lpstr>'buku bantu-26.25'!Print_Area</vt:lpstr>
      <vt:lpstr>'Indeks Kinerja'!Print_Area</vt:lpstr>
      <vt:lpstr>'Kerusakan Fisik'!Print_Area</vt:lpstr>
      <vt:lpstr>'kurva S'!Print_Area</vt:lpstr>
      <vt:lpstr>RPU!Print_Area</vt:lpstr>
      <vt:lpstr>'Indeks Kinerja'!Print_Titles</vt:lpstr>
      <vt:lpstr>'kurva S'!Print_Titles</vt:lpstr>
    </vt:vector>
  </TitlesOfParts>
  <Company>BAPPEDA NTB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DASTA</dc:creator>
  <cp:lastModifiedBy>Windows User</cp:lastModifiedBy>
  <cp:lastPrinted>2018-11-14T00:28:47Z</cp:lastPrinted>
  <dcterms:created xsi:type="dcterms:W3CDTF">2005-07-25T05:08:58Z</dcterms:created>
  <dcterms:modified xsi:type="dcterms:W3CDTF">2018-11-14T01:37:11Z</dcterms:modified>
</cp:coreProperties>
</file>