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y\Downloads\"/>
    </mc:Choice>
  </mc:AlternateContent>
  <bookViews>
    <workbookView xWindow="0" yWindow="0" windowWidth="20490" windowHeight="7650" tabRatio="892"/>
  </bookViews>
  <sheets>
    <sheet name="01-03-2025" sheetId="1" r:id="rId1"/>
    <sheet name="02-03-2025" sheetId="2" r:id="rId2"/>
    <sheet name="03-03-2025" sheetId="3" r:id="rId3"/>
    <sheet name="04-03-2025" sheetId="4" r:id="rId4"/>
    <sheet name="05-03-2025" sheetId="5" r:id="rId5"/>
    <sheet name="06-03-2025" sheetId="6" r:id="rId6"/>
    <sheet name="07-03-2025" sheetId="7" r:id="rId7"/>
    <sheet name="08-03-2025" sheetId="8" r:id="rId8"/>
    <sheet name="09-03-2025" sheetId="9" r:id="rId9"/>
    <sheet name="10-03-2025" sheetId="10" r:id="rId10"/>
    <sheet name="11-03-2025" sheetId="11" r:id="rId11"/>
    <sheet name="12-03-2025" sheetId="12" r:id="rId12"/>
    <sheet name="13-03-2025" sheetId="13" r:id="rId13"/>
    <sheet name="14-03-2025" sheetId="14" r:id="rId14"/>
    <sheet name="15-03-2025" sheetId="16" r:id="rId15"/>
    <sheet name="16-03-2025" sheetId="17" r:id="rId16"/>
    <sheet name="17-03-2025" sheetId="18" r:id="rId17"/>
    <sheet name="18-03-2025" sheetId="19" r:id="rId18"/>
    <sheet name="19-03-2025" sheetId="20" r:id="rId19"/>
    <sheet name="20-03-2025" sheetId="21" r:id="rId20"/>
    <sheet name="21-03-2025" sheetId="22" r:id="rId21"/>
    <sheet name="22-03-2025" sheetId="23" r:id="rId22"/>
    <sheet name="23-03-2025" sheetId="24" r:id="rId23"/>
    <sheet name="24-03-2025" sheetId="25" r:id="rId24"/>
    <sheet name="25-03-2025" sheetId="26" r:id="rId25"/>
    <sheet name="26-03-2025" sheetId="27" r:id="rId26"/>
    <sheet name="27-03-2025" sheetId="28" r:id="rId27"/>
    <sheet name="28-03-2025" sheetId="29" r:id="rId28"/>
    <sheet name="29-03-2025" sheetId="30" r:id="rId29"/>
    <sheet name="30-03-2025" sheetId="31" r:id="rId30"/>
    <sheet name="31-03-2025" sheetId="32" r:id="rId31"/>
  </sheets>
  <externalReferences>
    <externalReference r:id="rId32"/>
    <externalReference r:id="rId33"/>
    <externalReference r:id="rId34"/>
  </externalReferences>
  <definedNames>
    <definedName name="_xlnm._FilterDatabase" localSheetId="0" hidden="1">'01-03-2025'!$A$6:$P$6</definedName>
    <definedName name="_xlnm._FilterDatabase" localSheetId="1" hidden="1">'02-03-2025'!$A$6:$P$6</definedName>
    <definedName name="_xlnm._FilterDatabase" localSheetId="2" hidden="1">'03-03-2025'!$A$6:$P$6</definedName>
    <definedName name="_xlnm._FilterDatabase" localSheetId="3" hidden="1">'04-03-2025'!$A$6:$P$6</definedName>
    <definedName name="_xlnm._FilterDatabase" localSheetId="4" hidden="1">'05-03-2025'!$A$6:$P$6</definedName>
    <definedName name="_xlnm._FilterDatabase" localSheetId="5" hidden="1">'06-03-2025'!$A$6:$P$6</definedName>
    <definedName name="_xlnm._FilterDatabase" localSheetId="6" hidden="1">'07-03-2025'!$A$6:$P$6</definedName>
    <definedName name="_xlnm._FilterDatabase" localSheetId="7" hidden="1">'08-03-2025'!$A$6:$P$6</definedName>
    <definedName name="_xlnm._FilterDatabase" localSheetId="8" hidden="1">'09-03-2025'!$A$6:$P$6</definedName>
    <definedName name="_xlnm._FilterDatabase" localSheetId="9" hidden="1">'10-03-2025'!$A$6:$P$6</definedName>
    <definedName name="_xlnm._FilterDatabase" localSheetId="10" hidden="1">'11-03-2025'!$A$6:$P$6</definedName>
    <definedName name="_xlnm._FilterDatabase" localSheetId="11" hidden="1">'12-03-2025'!$A$6:$P$6</definedName>
    <definedName name="_xlnm._FilterDatabase" localSheetId="12" hidden="1">'13-03-2025'!$A$6:$P$6</definedName>
    <definedName name="_xlnm._FilterDatabase" localSheetId="13" hidden="1">'14-03-2025'!$A$6:$P$6</definedName>
    <definedName name="_xlnm._FilterDatabase" localSheetId="14" hidden="1">'15-03-2025'!$A$6:$P$6</definedName>
    <definedName name="_xlnm._FilterDatabase" localSheetId="15" hidden="1">'16-03-2025'!$A$6:$P$6</definedName>
    <definedName name="_xlnm._FilterDatabase" localSheetId="16" hidden="1">'17-03-2025'!$A$6:$P$6</definedName>
    <definedName name="_xlnm._FilterDatabase" localSheetId="17" hidden="1">'18-03-2025'!$A$6:$P$6</definedName>
    <definedName name="_xlnm._FilterDatabase" localSheetId="18" hidden="1">'19-03-2025'!$A$6:$P$6</definedName>
    <definedName name="_xlnm._FilterDatabase" localSheetId="19" hidden="1">'20-03-2025'!$A$6:$P$6</definedName>
    <definedName name="_xlnm._FilterDatabase" localSheetId="20" hidden="1">'21-03-2025'!$A$6:$P$6</definedName>
    <definedName name="_xlnm._FilterDatabase" localSheetId="21" hidden="1">'22-03-2025'!$A$6:$P$6</definedName>
    <definedName name="_xlnm._FilterDatabase" localSheetId="22" hidden="1">'23-03-2025'!$A$6:$P$6</definedName>
    <definedName name="_xlnm._FilterDatabase" localSheetId="23" hidden="1">'24-03-2025'!$A$6:$P$6</definedName>
    <definedName name="_xlnm._FilterDatabase" localSheetId="24" hidden="1">'25-03-2025'!$A$6:$P$6</definedName>
    <definedName name="_xlnm._FilterDatabase" localSheetId="25" hidden="1">'26-03-2025'!$A$6:$P$6</definedName>
    <definedName name="_xlnm._FilterDatabase" localSheetId="26" hidden="1">'27-03-2025'!$A$6:$P$6</definedName>
    <definedName name="_xlnm._FilterDatabase" localSheetId="27" hidden="1">'28-03-2025'!$A$6:$P$6</definedName>
    <definedName name="_xlnm._FilterDatabase" localSheetId="28" hidden="1">'29-03-2025'!$A$6:$P$6</definedName>
    <definedName name="_xlnm._FilterDatabase" localSheetId="29" hidden="1">'30-03-2025'!$A$6:$P$6</definedName>
    <definedName name="_xlnm._FilterDatabase" localSheetId="30" hidden="1">'31-03-2025'!$A$6:$P$6</definedName>
    <definedName name="_xlnm.Print_Area" localSheetId="0">'01-03-2025'!$A$1:$Q$48</definedName>
    <definedName name="_xlnm.Print_Area" localSheetId="1">'02-03-2025'!$A$1:$Q$48</definedName>
    <definedName name="_xlnm.Print_Area" localSheetId="2">'03-03-2025'!$A$1:$Q$48</definedName>
    <definedName name="_xlnm.Print_Area" localSheetId="3">'04-03-2025'!$A$1:$Q$48</definedName>
    <definedName name="_xlnm.Print_Area" localSheetId="4">'05-03-2025'!$A$1:$Q$48</definedName>
    <definedName name="_xlnm.Print_Area" localSheetId="5">'06-03-2025'!$A$1:$Q$48</definedName>
    <definedName name="_xlnm.Print_Area" localSheetId="6">'07-03-2025'!$A$1:$Q$48</definedName>
    <definedName name="_xlnm.Print_Area" localSheetId="7">'08-03-2025'!$A$1:$Q$48</definedName>
    <definedName name="_xlnm.Print_Area" localSheetId="8">'09-03-2025'!$A$1:$Q$48</definedName>
    <definedName name="_xlnm.Print_Area" localSheetId="9">'10-03-2025'!$A$1:$Q$48</definedName>
    <definedName name="_xlnm.Print_Area" localSheetId="10">'11-03-2025'!$A$1:$Q$48</definedName>
    <definedName name="_xlnm.Print_Area" localSheetId="11">'12-03-2025'!$A$1:$Q$48</definedName>
    <definedName name="_xlnm.Print_Area" localSheetId="12">'13-03-2025'!$A$1:$Q$48</definedName>
    <definedName name="_xlnm.Print_Area" localSheetId="13">'14-03-2025'!$A$1:$Q$48</definedName>
    <definedName name="_xlnm.Print_Area" localSheetId="14">'15-03-2025'!$A$1:$Q$48</definedName>
    <definedName name="_xlnm.Print_Area" localSheetId="15">'16-03-2025'!$A$1:$Q$48</definedName>
    <definedName name="_xlnm.Print_Area" localSheetId="16">'17-03-2025'!$A$1:$Q$48</definedName>
    <definedName name="_xlnm.Print_Area" localSheetId="17">'18-03-2025'!$A$1:$Q$48</definedName>
    <definedName name="_xlnm.Print_Area" localSheetId="18">'19-03-2025'!$A$1:$Q$48</definedName>
    <definedName name="_xlnm.Print_Area" localSheetId="19">'20-03-2025'!$A$1:$Q$48</definedName>
    <definedName name="_xlnm.Print_Area" localSheetId="20">'21-03-2025'!$A$1:$Q$48</definedName>
    <definedName name="_xlnm.Print_Area" localSheetId="21">'22-03-2025'!$A$1:$Q$48</definedName>
    <definedName name="_xlnm.Print_Area" localSheetId="22">'23-03-2025'!$A$1:$Q$48</definedName>
    <definedName name="_xlnm.Print_Area" localSheetId="23">'24-03-2025'!$A$1:$Q$48</definedName>
    <definedName name="_xlnm.Print_Area" localSheetId="24">'25-03-2025'!$A$1:$Q$48</definedName>
    <definedName name="_xlnm.Print_Area" localSheetId="25">'26-03-2025'!$A$1:$Q$48</definedName>
    <definedName name="_xlnm.Print_Area" localSheetId="26">'27-03-2025'!$A$1:$Q$48</definedName>
    <definedName name="_xlnm.Print_Area" localSheetId="27">'28-03-2025'!$A$1:$Q$48</definedName>
    <definedName name="_xlnm.Print_Area" localSheetId="28">'29-03-2025'!$A$1:$Q$48</definedName>
    <definedName name="_xlnm.Print_Area" localSheetId="29">'30-03-2025'!$A$1:$Q$48</definedName>
    <definedName name="_xlnm.Print_Area" localSheetId="30">'31-03-2025'!$A$1:$Q$48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32" l="1"/>
  <c r="L8" i="32"/>
  <c r="L9" i="32"/>
  <c r="L10" i="32"/>
  <c r="L7" i="32"/>
  <c r="E24" i="32"/>
  <c r="H47" i="32"/>
  <c r="D47" i="32"/>
  <c r="E48" i="32" s="1"/>
  <c r="B46" i="32"/>
  <c r="K45" i="32"/>
  <c r="J45" i="32"/>
  <c r="I45" i="32" s="1"/>
  <c r="B45" i="32"/>
  <c r="B44" i="32"/>
  <c r="K43" i="32"/>
  <c r="I43" i="32" s="1"/>
  <c r="B43" i="32"/>
  <c r="K42" i="32"/>
  <c r="L26" i="32" s="1"/>
  <c r="C7" i="32" s="1"/>
  <c r="B42" i="32"/>
  <c r="G39" i="32"/>
  <c r="E39" i="32"/>
  <c r="O38" i="32"/>
  <c r="L38" i="32"/>
  <c r="F38" i="32"/>
  <c r="H38" i="32" s="1"/>
  <c r="C38" i="32"/>
  <c r="P16" i="32" s="1"/>
  <c r="B38" i="32"/>
  <c r="O37" i="32"/>
  <c r="F37" i="32"/>
  <c r="H37" i="32" s="1"/>
  <c r="H36" i="32"/>
  <c r="F35" i="32"/>
  <c r="H35" i="32" s="1"/>
  <c r="F34" i="32"/>
  <c r="H34" i="32" s="1"/>
  <c r="L33" i="32"/>
  <c r="O36" i="32" s="1"/>
  <c r="P31" i="32"/>
  <c r="G30" i="32"/>
  <c r="P29" i="32"/>
  <c r="G29" i="32"/>
  <c r="P28" i="32"/>
  <c r="G28" i="32"/>
  <c r="G27" i="32"/>
  <c r="Q26" i="32"/>
  <c r="P26" i="32"/>
  <c r="G26" i="32"/>
  <c r="J25" i="32"/>
  <c r="J28" i="32" s="1"/>
  <c r="G25" i="32"/>
  <c r="G24" i="32"/>
  <c r="G23" i="32"/>
  <c r="G22" i="32"/>
  <c r="G21" i="32"/>
  <c r="G20" i="32"/>
  <c r="L19" i="32"/>
  <c r="J19" i="32"/>
  <c r="G19" i="32"/>
  <c r="G18" i="32"/>
  <c r="G17" i="32"/>
  <c r="G16" i="32"/>
  <c r="G15" i="32"/>
  <c r="G14" i="32"/>
  <c r="M11" i="32"/>
  <c r="I11" i="32"/>
  <c r="E11" i="32"/>
  <c r="D11" i="32"/>
  <c r="O10" i="32"/>
  <c r="Q31" i="32" s="1"/>
  <c r="H10" i="32"/>
  <c r="C10" i="32"/>
  <c r="O9" i="32"/>
  <c r="H9" i="32"/>
  <c r="C9" i="32"/>
  <c r="O8" i="32"/>
  <c r="Q28" i="32" s="1"/>
  <c r="H8" i="32"/>
  <c r="G8" i="32" s="1"/>
  <c r="N8" i="32" s="1"/>
  <c r="P8" i="32" s="1"/>
  <c r="C8" i="32"/>
  <c r="O7" i="32"/>
  <c r="G7" i="32"/>
  <c r="J7" i="32" s="1"/>
  <c r="O4" i="32"/>
  <c r="O3" i="32"/>
  <c r="P31" i="29"/>
  <c r="L8" i="31"/>
  <c r="L9" i="31"/>
  <c r="L10" i="31"/>
  <c r="L7" i="31"/>
  <c r="H47" i="31"/>
  <c r="D47" i="31"/>
  <c r="E48" i="31" s="1"/>
  <c r="B46" i="31"/>
  <c r="G7" i="31" s="1"/>
  <c r="K45" i="31"/>
  <c r="J45" i="31"/>
  <c r="B45" i="31"/>
  <c r="B44" i="31"/>
  <c r="K43" i="31"/>
  <c r="I43" i="31" s="1"/>
  <c r="B43" i="31"/>
  <c r="K42" i="31"/>
  <c r="L26" i="31" s="1"/>
  <c r="C7" i="31" s="1"/>
  <c r="B42" i="31"/>
  <c r="G39" i="31"/>
  <c r="E39" i="31"/>
  <c r="O38" i="31"/>
  <c r="L38" i="31"/>
  <c r="F38" i="31"/>
  <c r="H38" i="31" s="1"/>
  <c r="C38" i="31"/>
  <c r="P16" i="31" s="1"/>
  <c r="B38" i="31"/>
  <c r="P15" i="31" s="1"/>
  <c r="O37" i="31"/>
  <c r="F37" i="31"/>
  <c r="H37" i="31" s="1"/>
  <c r="H36" i="31"/>
  <c r="F35" i="31"/>
  <c r="H35" i="31" s="1"/>
  <c r="F34" i="31"/>
  <c r="H34" i="31" s="1"/>
  <c r="L33" i="31"/>
  <c r="O36" i="31" s="1"/>
  <c r="P31" i="31"/>
  <c r="G30" i="31"/>
  <c r="P29" i="31"/>
  <c r="G29" i="31"/>
  <c r="P28" i="31"/>
  <c r="G28" i="31"/>
  <c r="G27" i="31"/>
  <c r="Q26" i="31"/>
  <c r="P26" i="31"/>
  <c r="G26" i="31"/>
  <c r="J25" i="31"/>
  <c r="J28" i="31" s="1"/>
  <c r="G25" i="31"/>
  <c r="G24" i="31"/>
  <c r="G23" i="31"/>
  <c r="P22" i="31"/>
  <c r="G22" i="31"/>
  <c r="G21" i="31"/>
  <c r="G20" i="31"/>
  <c r="L19" i="31"/>
  <c r="J19" i="31"/>
  <c r="J23" i="31" s="1"/>
  <c r="G19" i="31"/>
  <c r="G18" i="31"/>
  <c r="G17" i="31"/>
  <c r="G16" i="31"/>
  <c r="G15" i="31"/>
  <c r="G14" i="31"/>
  <c r="M11" i="31"/>
  <c r="I11" i="31"/>
  <c r="E11" i="31"/>
  <c r="D11" i="31"/>
  <c r="O10" i="31"/>
  <c r="H10" i="31"/>
  <c r="C10" i="31"/>
  <c r="O9" i="31"/>
  <c r="Q29" i="31" s="1"/>
  <c r="H9" i="31"/>
  <c r="C9" i="31"/>
  <c r="O8" i="31"/>
  <c r="H8" i="31"/>
  <c r="H11" i="31" s="1"/>
  <c r="C8" i="31"/>
  <c r="O7" i="31"/>
  <c r="O4" i="31"/>
  <c r="O3" i="31"/>
  <c r="L8" i="30"/>
  <c r="L9" i="30"/>
  <c r="L10" i="30"/>
  <c r="L7" i="30"/>
  <c r="E26" i="30"/>
  <c r="G24" i="30"/>
  <c r="H47" i="30"/>
  <c r="D47" i="30"/>
  <c r="E48" i="30" s="1"/>
  <c r="B46" i="30"/>
  <c r="G7" i="30" s="1"/>
  <c r="K45" i="30"/>
  <c r="J45" i="30"/>
  <c r="B45" i="30"/>
  <c r="B44" i="30"/>
  <c r="K43" i="30"/>
  <c r="I43" i="30" s="1"/>
  <c r="B43" i="30"/>
  <c r="K42" i="30"/>
  <c r="L26" i="30" s="1"/>
  <c r="C7" i="30" s="1"/>
  <c r="B42" i="30"/>
  <c r="G39" i="30"/>
  <c r="E39" i="30"/>
  <c r="O38" i="30"/>
  <c r="L38" i="30"/>
  <c r="F38" i="30"/>
  <c r="H38" i="30" s="1"/>
  <c r="C38" i="30"/>
  <c r="P16" i="30" s="1"/>
  <c r="B38" i="30"/>
  <c r="O37" i="30"/>
  <c r="F37" i="30"/>
  <c r="H37" i="30" s="1"/>
  <c r="H36" i="30"/>
  <c r="F35" i="30"/>
  <c r="H35" i="30" s="1"/>
  <c r="F34" i="30"/>
  <c r="H34" i="30" s="1"/>
  <c r="L33" i="30"/>
  <c r="O36" i="30" s="1"/>
  <c r="P31" i="30"/>
  <c r="G30" i="30"/>
  <c r="P29" i="30"/>
  <c r="G29" i="30"/>
  <c r="P28" i="30"/>
  <c r="G28" i="30"/>
  <c r="G27" i="30"/>
  <c r="Q26" i="30"/>
  <c r="P26" i="30"/>
  <c r="G26" i="30"/>
  <c r="J25" i="30"/>
  <c r="J28" i="30" s="1"/>
  <c r="G25" i="30"/>
  <c r="G23" i="30"/>
  <c r="P22" i="30"/>
  <c r="G22" i="30"/>
  <c r="G21" i="30"/>
  <c r="G20" i="30"/>
  <c r="L19" i="30"/>
  <c r="J19" i="30"/>
  <c r="J23" i="30" s="1"/>
  <c r="G19" i="30"/>
  <c r="G18" i="30"/>
  <c r="G17" i="30"/>
  <c r="G16" i="30"/>
  <c r="G15" i="30"/>
  <c r="G14" i="30"/>
  <c r="M11" i="30"/>
  <c r="I11" i="30"/>
  <c r="E11" i="30"/>
  <c r="D11" i="30"/>
  <c r="O10" i="30"/>
  <c r="H10" i="30"/>
  <c r="C10" i="30"/>
  <c r="O9" i="30"/>
  <c r="H9" i="30"/>
  <c r="C9" i="30"/>
  <c r="O8" i="30"/>
  <c r="H8" i="30"/>
  <c r="C8" i="30"/>
  <c r="S27" i="30"/>
  <c r="O7" i="30"/>
  <c r="O4" i="30"/>
  <c r="O3" i="30"/>
  <c r="L8" i="29"/>
  <c r="L9" i="29"/>
  <c r="L10" i="29"/>
  <c r="L7" i="29"/>
  <c r="H47" i="29"/>
  <c r="D47" i="29"/>
  <c r="E48" i="29" s="1"/>
  <c r="B46" i="29"/>
  <c r="G7" i="29" s="1"/>
  <c r="J7" i="29" s="1"/>
  <c r="K45" i="29"/>
  <c r="J45" i="29"/>
  <c r="B45" i="29"/>
  <c r="B44" i="29"/>
  <c r="K43" i="29"/>
  <c r="L47" i="29" s="1"/>
  <c r="B43" i="29"/>
  <c r="K42" i="29"/>
  <c r="L26" i="29" s="1"/>
  <c r="C7" i="29" s="1"/>
  <c r="B42" i="29"/>
  <c r="G39" i="29"/>
  <c r="E39" i="29"/>
  <c r="O38" i="29"/>
  <c r="L38" i="29"/>
  <c r="F38" i="29"/>
  <c r="H38" i="29" s="1"/>
  <c r="C38" i="29"/>
  <c r="P16" i="29" s="1"/>
  <c r="B38" i="29"/>
  <c r="P15" i="29" s="1"/>
  <c r="O37" i="29"/>
  <c r="F37" i="29"/>
  <c r="H37" i="29" s="1"/>
  <c r="H36" i="29"/>
  <c r="F35" i="29"/>
  <c r="H35" i="29" s="1"/>
  <c r="F34" i="29"/>
  <c r="H34" i="29" s="1"/>
  <c r="L33" i="29"/>
  <c r="O36" i="29" s="1"/>
  <c r="G30" i="29"/>
  <c r="P29" i="29"/>
  <c r="G29" i="29"/>
  <c r="P28" i="29"/>
  <c r="G28" i="29"/>
  <c r="G27" i="29"/>
  <c r="Q26" i="29"/>
  <c r="P26" i="29"/>
  <c r="G26" i="29"/>
  <c r="J25" i="29"/>
  <c r="J28" i="29" s="1"/>
  <c r="G25" i="29"/>
  <c r="G24" i="29"/>
  <c r="G23" i="29"/>
  <c r="P22" i="29"/>
  <c r="G22" i="29"/>
  <c r="G21" i="29"/>
  <c r="G20" i="29"/>
  <c r="L19" i="29"/>
  <c r="J19" i="29"/>
  <c r="J23" i="29" s="1"/>
  <c r="G19" i="29"/>
  <c r="G18" i="29"/>
  <c r="G17" i="29"/>
  <c r="G16" i="29"/>
  <c r="G15" i="29"/>
  <c r="G14" i="29"/>
  <c r="M11" i="29"/>
  <c r="I11" i="29"/>
  <c r="E11" i="29"/>
  <c r="D11" i="29"/>
  <c r="O10" i="29"/>
  <c r="Q31" i="29" s="1"/>
  <c r="H10" i="29"/>
  <c r="C10" i="29"/>
  <c r="O9" i="29"/>
  <c r="Q29" i="29" s="1"/>
  <c r="H9" i="29"/>
  <c r="C9" i="29"/>
  <c r="O8" i="29"/>
  <c r="H8" i="29"/>
  <c r="C8" i="29"/>
  <c r="S27" i="29"/>
  <c r="O7" i="29"/>
  <c r="O4" i="29"/>
  <c r="O3" i="29"/>
  <c r="O39" i="29" l="1"/>
  <c r="Q28" i="29"/>
  <c r="L11" i="29"/>
  <c r="G31" i="29"/>
  <c r="P21" i="29" s="1"/>
  <c r="H39" i="29"/>
  <c r="H11" i="29"/>
  <c r="G9" i="29"/>
  <c r="N9" i="29" s="1"/>
  <c r="P9" i="29" s="1"/>
  <c r="I45" i="29"/>
  <c r="Q28" i="30"/>
  <c r="C11" i="30"/>
  <c r="I45" i="30"/>
  <c r="Q29" i="30"/>
  <c r="O39" i="30"/>
  <c r="B39" i="30"/>
  <c r="Q31" i="30"/>
  <c r="L47" i="30"/>
  <c r="H11" i="30"/>
  <c r="G10" i="30"/>
  <c r="J10" i="30" s="1"/>
  <c r="G9" i="30"/>
  <c r="N9" i="30" s="1"/>
  <c r="P9" i="30" s="1"/>
  <c r="H11" i="32"/>
  <c r="L47" i="32"/>
  <c r="B39" i="32"/>
  <c r="O39" i="32"/>
  <c r="G31" i="32"/>
  <c r="P21" i="32" s="1"/>
  <c r="G9" i="32"/>
  <c r="N9" i="32" s="1"/>
  <c r="P9" i="32" s="1"/>
  <c r="J20" i="32"/>
  <c r="P22" i="32" s="1"/>
  <c r="L20" i="31"/>
  <c r="L11" i="32"/>
  <c r="G8" i="31"/>
  <c r="N8" i="31" s="1"/>
  <c r="P8" i="31" s="1"/>
  <c r="G10" i="31"/>
  <c r="L47" i="31"/>
  <c r="S27" i="31"/>
  <c r="S27" i="32"/>
  <c r="C11" i="31"/>
  <c r="G9" i="31"/>
  <c r="N9" i="31" s="1"/>
  <c r="P9" i="31" s="1"/>
  <c r="Q31" i="31"/>
  <c r="O39" i="31"/>
  <c r="I45" i="31"/>
  <c r="G31" i="31"/>
  <c r="P21" i="31" s="1"/>
  <c r="Q28" i="31"/>
  <c r="H39" i="32"/>
  <c r="Q29" i="32"/>
  <c r="L20" i="32"/>
  <c r="P20" i="32" s="1"/>
  <c r="P15" i="32"/>
  <c r="N7" i="32"/>
  <c r="P7" i="32" s="1"/>
  <c r="G10" i="32"/>
  <c r="N10" i="32" s="1"/>
  <c r="P10" i="32" s="1"/>
  <c r="J9" i="32"/>
  <c r="B47" i="32"/>
  <c r="J8" i="32"/>
  <c r="L23" i="32"/>
  <c r="C11" i="32"/>
  <c r="L11" i="31"/>
  <c r="L11" i="30"/>
  <c r="B39" i="31"/>
  <c r="B47" i="31"/>
  <c r="L23" i="31"/>
  <c r="P20" i="31"/>
  <c r="N10" i="31"/>
  <c r="P10" i="31" s="1"/>
  <c r="J10" i="31"/>
  <c r="H39" i="31"/>
  <c r="H46" i="31"/>
  <c r="J7" i="31"/>
  <c r="N7" i="31"/>
  <c r="G31" i="30"/>
  <c r="P21" i="30" s="1"/>
  <c r="B47" i="30"/>
  <c r="G8" i="30"/>
  <c r="N8" i="30" s="1"/>
  <c r="P8" i="30" s="1"/>
  <c r="H39" i="30"/>
  <c r="N10" i="30"/>
  <c r="P10" i="30" s="1"/>
  <c r="S30" i="30"/>
  <c r="J7" i="30"/>
  <c r="N7" i="30"/>
  <c r="L20" i="30"/>
  <c r="P20" i="30" s="1"/>
  <c r="H46" i="30" s="1"/>
  <c r="P15" i="30"/>
  <c r="C11" i="29"/>
  <c r="B47" i="29"/>
  <c r="G8" i="29"/>
  <c r="N8" i="29" s="1"/>
  <c r="P8" i="29" s="1"/>
  <c r="S30" i="29"/>
  <c r="B39" i="29"/>
  <c r="N7" i="29"/>
  <c r="G10" i="29"/>
  <c r="L20" i="29"/>
  <c r="J8" i="29"/>
  <c r="J9" i="29"/>
  <c r="I43" i="29"/>
  <c r="P28" i="28"/>
  <c r="E24" i="28"/>
  <c r="L8" i="28"/>
  <c r="L9" i="28"/>
  <c r="L11" i="28" s="1"/>
  <c r="L10" i="28"/>
  <c r="L7" i="28"/>
  <c r="S27" i="28"/>
  <c r="H47" i="28"/>
  <c r="D47" i="28"/>
  <c r="E48" i="28" s="1"/>
  <c r="B46" i="28"/>
  <c r="G7" i="28" s="1"/>
  <c r="J7" i="28" s="1"/>
  <c r="K45" i="28"/>
  <c r="J45" i="28"/>
  <c r="B45" i="28"/>
  <c r="B44" i="28"/>
  <c r="K43" i="28"/>
  <c r="B43" i="28"/>
  <c r="K42" i="28"/>
  <c r="L26" i="28" s="1"/>
  <c r="C7" i="28" s="1"/>
  <c r="B42" i="28"/>
  <c r="G39" i="28"/>
  <c r="E39" i="28"/>
  <c r="O38" i="28"/>
  <c r="L38" i="28"/>
  <c r="F38" i="28"/>
  <c r="H38" i="28" s="1"/>
  <c r="C38" i="28"/>
  <c r="P16" i="28" s="1"/>
  <c r="B38" i="28"/>
  <c r="P15" i="28" s="1"/>
  <c r="O37" i="28"/>
  <c r="F37" i="28"/>
  <c r="H37" i="28" s="1"/>
  <c r="H36" i="28"/>
  <c r="F35" i="28"/>
  <c r="H35" i="28" s="1"/>
  <c r="F34" i="28"/>
  <c r="H34" i="28" s="1"/>
  <c r="L33" i="28"/>
  <c r="O36" i="28" s="1"/>
  <c r="P31" i="28"/>
  <c r="G30" i="28"/>
  <c r="P29" i="28"/>
  <c r="G29" i="28"/>
  <c r="G28" i="28"/>
  <c r="G27" i="28"/>
  <c r="Q26" i="28"/>
  <c r="P26" i="28"/>
  <c r="G26" i="28"/>
  <c r="J25" i="28"/>
  <c r="J28" i="28" s="1"/>
  <c r="G25" i="28"/>
  <c r="G24" i="28"/>
  <c r="G23" i="28"/>
  <c r="P22" i="28"/>
  <c r="G22" i="28"/>
  <c r="G21" i="28"/>
  <c r="G20" i="28"/>
  <c r="L19" i="28"/>
  <c r="J19" i="28"/>
  <c r="J23" i="28" s="1"/>
  <c r="G19" i="28"/>
  <c r="G18" i="28"/>
  <c r="G17" i="28"/>
  <c r="G16" i="28"/>
  <c r="G15" i="28"/>
  <c r="G14" i="28"/>
  <c r="M11" i="28"/>
  <c r="I11" i="28"/>
  <c r="E11" i="28"/>
  <c r="D11" i="28"/>
  <c r="O10" i="28"/>
  <c r="H10" i="28"/>
  <c r="C10" i="28"/>
  <c r="O9" i="28"/>
  <c r="Q29" i="28" s="1"/>
  <c r="H9" i="28"/>
  <c r="C9" i="28"/>
  <c r="O8" i="28"/>
  <c r="H8" i="28"/>
  <c r="C8" i="28"/>
  <c r="O7" i="28"/>
  <c r="O4" i="28"/>
  <c r="O3" i="28"/>
  <c r="L8" i="27"/>
  <c r="L9" i="27"/>
  <c r="L10" i="27"/>
  <c r="L7" i="27"/>
  <c r="H47" i="27"/>
  <c r="D47" i="27"/>
  <c r="E48" i="27" s="1"/>
  <c r="B46" i="27"/>
  <c r="G7" i="27" s="1"/>
  <c r="N7" i="27" s="1"/>
  <c r="K45" i="27"/>
  <c r="J45" i="27"/>
  <c r="B45" i="27"/>
  <c r="B44" i="27"/>
  <c r="K43" i="27"/>
  <c r="I43" i="27" s="1"/>
  <c r="B43" i="27"/>
  <c r="K42" i="27"/>
  <c r="L26" i="27" s="1"/>
  <c r="C7" i="27" s="1"/>
  <c r="B42" i="27"/>
  <c r="G39" i="27"/>
  <c r="E39" i="27"/>
  <c r="O38" i="27"/>
  <c r="L38" i="27"/>
  <c r="F38" i="27"/>
  <c r="H38" i="27" s="1"/>
  <c r="C38" i="27"/>
  <c r="P16" i="27" s="1"/>
  <c r="B38" i="27"/>
  <c r="P15" i="27" s="1"/>
  <c r="O37" i="27"/>
  <c r="H37" i="27"/>
  <c r="F37" i="27"/>
  <c r="H36" i="27"/>
  <c r="F35" i="27"/>
  <c r="H35" i="27" s="1"/>
  <c r="F34" i="27"/>
  <c r="H34" i="27" s="1"/>
  <c r="L33" i="27"/>
  <c r="O36" i="27" s="1"/>
  <c r="P31" i="27"/>
  <c r="G30" i="27"/>
  <c r="P29" i="27"/>
  <c r="G29" i="27"/>
  <c r="P28" i="27"/>
  <c r="G28" i="27"/>
  <c r="G27" i="27"/>
  <c r="Q26" i="27"/>
  <c r="P26" i="27"/>
  <c r="G26" i="27"/>
  <c r="J25" i="27"/>
  <c r="J28" i="27" s="1"/>
  <c r="G25" i="27"/>
  <c r="G24" i="27"/>
  <c r="G23" i="27"/>
  <c r="P22" i="27"/>
  <c r="G22" i="27"/>
  <c r="G21" i="27"/>
  <c r="G20" i="27"/>
  <c r="L19" i="27"/>
  <c r="J19" i="27"/>
  <c r="J23" i="27" s="1"/>
  <c r="G19" i="27"/>
  <c r="G18" i="27"/>
  <c r="G17" i="27"/>
  <c r="G16" i="27"/>
  <c r="G15" i="27"/>
  <c r="G14" i="27"/>
  <c r="M11" i="27"/>
  <c r="I11" i="27"/>
  <c r="D11" i="27"/>
  <c r="O10" i="27"/>
  <c r="H10" i="27"/>
  <c r="C10" i="27"/>
  <c r="O9" i="27"/>
  <c r="H9" i="27"/>
  <c r="C9" i="27"/>
  <c r="O8" i="27"/>
  <c r="E11" i="27"/>
  <c r="C8" i="27"/>
  <c r="O7" i="27"/>
  <c r="L11" i="27"/>
  <c r="O4" i="27"/>
  <c r="O3" i="27"/>
  <c r="E10" i="26"/>
  <c r="H10" i="26" s="1"/>
  <c r="E9" i="26"/>
  <c r="H9" i="26" s="1"/>
  <c r="E8" i="26"/>
  <c r="H8" i="26" s="1"/>
  <c r="M11" i="26"/>
  <c r="L38" i="26"/>
  <c r="L8" i="26"/>
  <c r="L9" i="26"/>
  <c r="L10" i="26"/>
  <c r="L7" i="26"/>
  <c r="E17" i="26"/>
  <c r="G17" i="26" s="1"/>
  <c r="B42" i="26"/>
  <c r="H47" i="26"/>
  <c r="D47" i="26"/>
  <c r="E48" i="26" s="1"/>
  <c r="B46" i="26"/>
  <c r="G7" i="26" s="1"/>
  <c r="K45" i="26"/>
  <c r="J45" i="26"/>
  <c r="B45" i="26"/>
  <c r="B44" i="26"/>
  <c r="K43" i="26"/>
  <c r="I43" i="26" s="1"/>
  <c r="B43" i="26"/>
  <c r="K42" i="26"/>
  <c r="G39" i="26"/>
  <c r="E39" i="26"/>
  <c r="O38" i="26"/>
  <c r="F38" i="26"/>
  <c r="H38" i="26" s="1"/>
  <c r="C38" i="26"/>
  <c r="P16" i="26" s="1"/>
  <c r="B38" i="26"/>
  <c r="P15" i="26" s="1"/>
  <c r="O37" i="26"/>
  <c r="F37" i="26"/>
  <c r="H37" i="26" s="1"/>
  <c r="H36" i="26"/>
  <c r="F35" i="26"/>
  <c r="H35" i="26" s="1"/>
  <c r="F34" i="26"/>
  <c r="H34" i="26" s="1"/>
  <c r="L33" i="26"/>
  <c r="O36" i="26" s="1"/>
  <c r="P31" i="26"/>
  <c r="G30" i="26"/>
  <c r="P29" i="26"/>
  <c r="G29" i="26"/>
  <c r="P28" i="26"/>
  <c r="G28" i="26"/>
  <c r="G27" i="26"/>
  <c r="Q26" i="26"/>
  <c r="P26" i="26"/>
  <c r="L26" i="26"/>
  <c r="C7" i="26" s="1"/>
  <c r="G26" i="26"/>
  <c r="J25" i="26"/>
  <c r="J28" i="26" s="1"/>
  <c r="G25" i="26"/>
  <c r="G24" i="26"/>
  <c r="G23" i="26"/>
  <c r="P22" i="26"/>
  <c r="G22" i="26"/>
  <c r="G21" i="26"/>
  <c r="G20" i="26"/>
  <c r="L19" i="26"/>
  <c r="J19" i="26"/>
  <c r="J23" i="26" s="1"/>
  <c r="G19" i="26"/>
  <c r="G18" i="26"/>
  <c r="G16" i="26"/>
  <c r="G15" i="26"/>
  <c r="G14" i="26"/>
  <c r="I11" i="26"/>
  <c r="D11" i="26"/>
  <c r="O10" i="26"/>
  <c r="C10" i="26"/>
  <c r="O9" i="26"/>
  <c r="C9" i="26"/>
  <c r="O8" i="26"/>
  <c r="Q28" i="26" s="1"/>
  <c r="C8" i="26"/>
  <c r="O7" i="26"/>
  <c r="O4" i="26"/>
  <c r="O3" i="26"/>
  <c r="H47" i="25"/>
  <c r="P29" i="25"/>
  <c r="L8" i="25"/>
  <c r="L9" i="25"/>
  <c r="L10" i="25"/>
  <c r="L7" i="25"/>
  <c r="D47" i="25"/>
  <c r="E48" i="25" s="1"/>
  <c r="B46" i="25"/>
  <c r="G7" i="25" s="1"/>
  <c r="K45" i="25"/>
  <c r="J45" i="25"/>
  <c r="B45" i="25"/>
  <c r="G10" i="25" s="1"/>
  <c r="B44" i="25"/>
  <c r="K43" i="25"/>
  <c r="L47" i="25" s="1"/>
  <c r="B43" i="25"/>
  <c r="G9" i="25" s="1"/>
  <c r="K42" i="25"/>
  <c r="L26" i="25" s="1"/>
  <c r="C7" i="25" s="1"/>
  <c r="B42" i="25"/>
  <c r="G8" i="25" s="1"/>
  <c r="G39" i="25"/>
  <c r="E39" i="25"/>
  <c r="F38" i="25"/>
  <c r="H38" i="25" s="1"/>
  <c r="C38" i="25"/>
  <c r="P16" i="25" s="1"/>
  <c r="B38" i="25"/>
  <c r="P15" i="25" s="1"/>
  <c r="O37" i="25"/>
  <c r="F37" i="25"/>
  <c r="H37" i="25" s="1"/>
  <c r="H36" i="25"/>
  <c r="F35" i="25"/>
  <c r="H35" i="25" s="1"/>
  <c r="F34" i="25"/>
  <c r="H34" i="25" s="1"/>
  <c r="L33" i="25"/>
  <c r="O36" i="25" s="1"/>
  <c r="P31" i="25"/>
  <c r="G30" i="25"/>
  <c r="G29" i="25"/>
  <c r="P28" i="25"/>
  <c r="G28" i="25"/>
  <c r="G27" i="25"/>
  <c r="Q26" i="25"/>
  <c r="P26" i="25"/>
  <c r="G26" i="25"/>
  <c r="J25" i="25"/>
  <c r="J28" i="25" s="1"/>
  <c r="G25" i="25"/>
  <c r="G24" i="25"/>
  <c r="G23" i="25"/>
  <c r="P22" i="25"/>
  <c r="G22" i="25"/>
  <c r="G21" i="25"/>
  <c r="G20" i="25"/>
  <c r="L19" i="25"/>
  <c r="J19" i="25"/>
  <c r="J23" i="25" s="1"/>
  <c r="G19" i="25"/>
  <c r="G18" i="25"/>
  <c r="G17" i="25"/>
  <c r="G16" i="25"/>
  <c r="G15" i="25"/>
  <c r="G14" i="25"/>
  <c r="M11" i="25"/>
  <c r="I11" i="25"/>
  <c r="H11" i="25"/>
  <c r="E11" i="25"/>
  <c r="D11" i="25"/>
  <c r="O10" i="25"/>
  <c r="Q31" i="25" s="1"/>
  <c r="C10" i="25"/>
  <c r="O9" i="25"/>
  <c r="Q29" i="25" s="1"/>
  <c r="C9" i="25"/>
  <c r="O8" i="25"/>
  <c r="C8" i="25"/>
  <c r="S27" i="25"/>
  <c r="O7" i="25"/>
  <c r="O4" i="25"/>
  <c r="O3" i="25"/>
  <c r="L8" i="24"/>
  <c r="L9" i="24"/>
  <c r="L10" i="24"/>
  <c r="L7" i="24"/>
  <c r="H47" i="24"/>
  <c r="D47" i="24"/>
  <c r="E48" i="24" s="1"/>
  <c r="B46" i="24"/>
  <c r="G7" i="24" s="1"/>
  <c r="N7" i="24" s="1"/>
  <c r="K45" i="24"/>
  <c r="J45" i="24"/>
  <c r="B45" i="24"/>
  <c r="G10" i="24" s="1"/>
  <c r="B44" i="24"/>
  <c r="K43" i="24"/>
  <c r="I43" i="24" s="1"/>
  <c r="B43" i="24"/>
  <c r="G9" i="24" s="1"/>
  <c r="N9" i="24" s="1"/>
  <c r="K42" i="24"/>
  <c r="L26" i="24" s="1"/>
  <c r="C7" i="24" s="1"/>
  <c r="B42" i="24"/>
  <c r="G8" i="24" s="1"/>
  <c r="G39" i="24"/>
  <c r="E39" i="24"/>
  <c r="O38" i="24"/>
  <c r="L38" i="24"/>
  <c r="F38" i="24"/>
  <c r="H38" i="24" s="1"/>
  <c r="C38" i="24"/>
  <c r="P16" i="24" s="1"/>
  <c r="B38" i="24"/>
  <c r="P15" i="24" s="1"/>
  <c r="O37" i="24"/>
  <c r="F37" i="24"/>
  <c r="H37" i="24" s="1"/>
  <c r="H36" i="24"/>
  <c r="F35" i="24"/>
  <c r="H35" i="24" s="1"/>
  <c r="F34" i="24"/>
  <c r="H34" i="24" s="1"/>
  <c r="L33" i="24"/>
  <c r="O36" i="24" s="1"/>
  <c r="P31" i="24"/>
  <c r="G30" i="24"/>
  <c r="P29" i="24"/>
  <c r="G29" i="24"/>
  <c r="P28" i="24"/>
  <c r="G28" i="24"/>
  <c r="G27" i="24"/>
  <c r="Q26" i="24"/>
  <c r="P26" i="24"/>
  <c r="G26" i="24"/>
  <c r="J25" i="24"/>
  <c r="J28" i="24" s="1"/>
  <c r="G25" i="24"/>
  <c r="G24" i="24"/>
  <c r="G23" i="24"/>
  <c r="P22" i="24"/>
  <c r="G22" i="24"/>
  <c r="G21" i="24"/>
  <c r="G20" i="24"/>
  <c r="L19" i="24"/>
  <c r="J19" i="24"/>
  <c r="J23" i="24" s="1"/>
  <c r="G19" i="24"/>
  <c r="G18" i="24"/>
  <c r="G17" i="24"/>
  <c r="G16" i="24"/>
  <c r="G15" i="24"/>
  <c r="G14" i="24"/>
  <c r="M11" i="24"/>
  <c r="I11" i="24"/>
  <c r="H11" i="24"/>
  <c r="E11" i="24"/>
  <c r="D11" i="24"/>
  <c r="O10" i="24"/>
  <c r="C10" i="24"/>
  <c r="O9" i="24"/>
  <c r="Q29" i="24" s="1"/>
  <c r="C9" i="24"/>
  <c r="O8" i="24"/>
  <c r="Q28" i="24" s="1"/>
  <c r="C8" i="24"/>
  <c r="S27" i="24"/>
  <c r="O7" i="24"/>
  <c r="O4" i="24"/>
  <c r="O3" i="24"/>
  <c r="L8" i="23"/>
  <c r="L9" i="23"/>
  <c r="L11" i="23" s="1"/>
  <c r="L10" i="23"/>
  <c r="L7" i="23"/>
  <c r="H47" i="23"/>
  <c r="D47" i="23"/>
  <c r="E48" i="23" s="1"/>
  <c r="B46" i="23"/>
  <c r="G7" i="23" s="1"/>
  <c r="N7" i="23" s="1"/>
  <c r="K45" i="23"/>
  <c r="J45" i="23"/>
  <c r="B45" i="23"/>
  <c r="G10" i="23" s="1"/>
  <c r="N10" i="23" s="1"/>
  <c r="B44" i="23"/>
  <c r="K43" i="23"/>
  <c r="B43" i="23"/>
  <c r="G9" i="23" s="1"/>
  <c r="N9" i="23" s="1"/>
  <c r="K42" i="23"/>
  <c r="L26" i="23" s="1"/>
  <c r="C7" i="23" s="1"/>
  <c r="B42" i="23"/>
  <c r="G39" i="23"/>
  <c r="E39" i="23"/>
  <c r="O38" i="23"/>
  <c r="L38" i="23"/>
  <c r="F38" i="23"/>
  <c r="H38" i="23" s="1"/>
  <c r="C38" i="23"/>
  <c r="P16" i="23" s="1"/>
  <c r="B38" i="23"/>
  <c r="P15" i="23" s="1"/>
  <c r="O37" i="23"/>
  <c r="O39" i="23" s="1"/>
  <c r="F37" i="23"/>
  <c r="H37" i="23" s="1"/>
  <c r="H36" i="23"/>
  <c r="F35" i="23"/>
  <c r="H35" i="23" s="1"/>
  <c r="H34" i="23"/>
  <c r="F34" i="23"/>
  <c r="L33" i="23"/>
  <c r="O36" i="23" s="1"/>
  <c r="P31" i="23"/>
  <c r="G30" i="23"/>
  <c r="P29" i="23"/>
  <c r="G29" i="23"/>
  <c r="P28" i="23"/>
  <c r="G28" i="23"/>
  <c r="G27" i="23"/>
  <c r="Q26" i="23"/>
  <c r="P26" i="23"/>
  <c r="G26" i="23"/>
  <c r="J25" i="23"/>
  <c r="J28" i="23" s="1"/>
  <c r="G25" i="23"/>
  <c r="G24" i="23"/>
  <c r="G23" i="23"/>
  <c r="P22" i="23"/>
  <c r="G22" i="23"/>
  <c r="G21" i="23"/>
  <c r="G20" i="23"/>
  <c r="L19" i="23"/>
  <c r="J19" i="23"/>
  <c r="J23" i="23" s="1"/>
  <c r="G19" i="23"/>
  <c r="G18" i="23"/>
  <c r="G17" i="23"/>
  <c r="G16" i="23"/>
  <c r="G15" i="23"/>
  <c r="G14" i="23"/>
  <c r="M11" i="23"/>
  <c r="I11" i="23"/>
  <c r="H11" i="23"/>
  <c r="E11" i="23"/>
  <c r="D11" i="23"/>
  <c r="O10" i="23"/>
  <c r="Q31" i="23" s="1"/>
  <c r="C10" i="23"/>
  <c r="O9" i="23"/>
  <c r="Q29" i="23" s="1"/>
  <c r="C9" i="23"/>
  <c r="O8" i="23"/>
  <c r="G8" i="23"/>
  <c r="J8" i="23" s="1"/>
  <c r="C8" i="23"/>
  <c r="O7" i="23"/>
  <c r="O4" i="23"/>
  <c r="O3" i="23"/>
  <c r="S27" i="22"/>
  <c r="L8" i="22"/>
  <c r="L9" i="22"/>
  <c r="L10" i="22"/>
  <c r="L7" i="22"/>
  <c r="H47" i="22"/>
  <c r="D47" i="22"/>
  <c r="E48" i="22" s="1"/>
  <c r="B46" i="22"/>
  <c r="K45" i="22"/>
  <c r="I45" i="22" s="1"/>
  <c r="J45" i="22"/>
  <c r="B45" i="22"/>
  <c r="G10" i="22" s="1"/>
  <c r="N10" i="22" s="1"/>
  <c r="B44" i="22"/>
  <c r="K43" i="22"/>
  <c r="B43" i="22"/>
  <c r="G9" i="22" s="1"/>
  <c r="K42" i="22"/>
  <c r="L26" i="22" s="1"/>
  <c r="C7" i="22" s="1"/>
  <c r="B42" i="22"/>
  <c r="G8" i="22" s="1"/>
  <c r="G39" i="22"/>
  <c r="E39" i="22"/>
  <c r="O38" i="22"/>
  <c r="L38" i="22"/>
  <c r="F38" i="22"/>
  <c r="H38" i="22" s="1"/>
  <c r="C38" i="22"/>
  <c r="P16" i="22" s="1"/>
  <c r="B38" i="22"/>
  <c r="P15" i="22" s="1"/>
  <c r="O37" i="22"/>
  <c r="F37" i="22"/>
  <c r="H37" i="22" s="1"/>
  <c r="H36" i="22"/>
  <c r="F35" i="22"/>
  <c r="H35" i="22" s="1"/>
  <c r="F34" i="22"/>
  <c r="H34" i="22" s="1"/>
  <c r="L33" i="22"/>
  <c r="O36" i="22" s="1"/>
  <c r="P31" i="22"/>
  <c r="G30" i="22"/>
  <c r="P29" i="22"/>
  <c r="G29" i="22"/>
  <c r="P28" i="22"/>
  <c r="G28" i="22"/>
  <c r="G27" i="22"/>
  <c r="Q26" i="22"/>
  <c r="P26" i="22"/>
  <c r="G26" i="22"/>
  <c r="J25" i="22"/>
  <c r="J28" i="22" s="1"/>
  <c r="G25" i="22"/>
  <c r="G24" i="22"/>
  <c r="G23" i="22"/>
  <c r="P22" i="22"/>
  <c r="G22" i="22"/>
  <c r="G21" i="22"/>
  <c r="G20" i="22"/>
  <c r="L19" i="22"/>
  <c r="J19" i="22"/>
  <c r="J23" i="22" s="1"/>
  <c r="G19" i="22"/>
  <c r="G18" i="22"/>
  <c r="G17" i="22"/>
  <c r="G16" i="22"/>
  <c r="G15" i="22"/>
  <c r="G14" i="22"/>
  <c r="M11" i="22"/>
  <c r="I11" i="22"/>
  <c r="H11" i="22"/>
  <c r="E11" i="22"/>
  <c r="D11" i="22"/>
  <c r="O10" i="22"/>
  <c r="C10" i="22"/>
  <c r="O9" i="22"/>
  <c r="Q29" i="22" s="1"/>
  <c r="C9" i="22"/>
  <c r="O8" i="22"/>
  <c r="Q28" i="22" s="1"/>
  <c r="C8" i="22"/>
  <c r="O7" i="22"/>
  <c r="G7" i="22"/>
  <c r="N7" i="22" s="1"/>
  <c r="O4" i="22"/>
  <c r="O3" i="22"/>
  <c r="L8" i="21"/>
  <c r="L9" i="21"/>
  <c r="L10" i="21"/>
  <c r="L7" i="21"/>
  <c r="H47" i="21"/>
  <c r="D47" i="21"/>
  <c r="E48" i="21" s="1"/>
  <c r="B46" i="21"/>
  <c r="G7" i="21" s="1"/>
  <c r="N7" i="21" s="1"/>
  <c r="K45" i="21"/>
  <c r="J45" i="21"/>
  <c r="B45" i="21"/>
  <c r="G10" i="21" s="1"/>
  <c r="N10" i="21" s="1"/>
  <c r="B44" i="21"/>
  <c r="K43" i="21"/>
  <c r="I43" i="21" s="1"/>
  <c r="B43" i="21"/>
  <c r="G9" i="21" s="1"/>
  <c r="K42" i="21"/>
  <c r="L26" i="21" s="1"/>
  <c r="C7" i="21" s="1"/>
  <c r="B42" i="21"/>
  <c r="G39" i="21"/>
  <c r="E39" i="21"/>
  <c r="O38" i="21"/>
  <c r="L38" i="21"/>
  <c r="F38" i="21"/>
  <c r="H38" i="21" s="1"/>
  <c r="C38" i="21"/>
  <c r="P16" i="21" s="1"/>
  <c r="B38" i="21"/>
  <c r="P15" i="21" s="1"/>
  <c r="O37" i="21"/>
  <c r="F37" i="21"/>
  <c r="H37" i="21" s="1"/>
  <c r="H36" i="21"/>
  <c r="F35" i="21"/>
  <c r="H35" i="21" s="1"/>
  <c r="F34" i="21"/>
  <c r="H34" i="21" s="1"/>
  <c r="L33" i="21"/>
  <c r="O36" i="21" s="1"/>
  <c r="P31" i="21"/>
  <c r="G30" i="21"/>
  <c r="P29" i="21"/>
  <c r="G29" i="21"/>
  <c r="P28" i="21"/>
  <c r="G28" i="21"/>
  <c r="G27" i="21"/>
  <c r="Q26" i="21"/>
  <c r="P26" i="21"/>
  <c r="G26" i="21"/>
  <c r="J25" i="21"/>
  <c r="J28" i="21" s="1"/>
  <c r="G25" i="21"/>
  <c r="G24" i="21"/>
  <c r="G23" i="21"/>
  <c r="P22" i="21"/>
  <c r="G22" i="21"/>
  <c r="G21" i="21"/>
  <c r="G20" i="21"/>
  <c r="L19" i="21"/>
  <c r="J19" i="21"/>
  <c r="J23" i="21" s="1"/>
  <c r="G19" i="21"/>
  <c r="G18" i="21"/>
  <c r="G17" i="21"/>
  <c r="G16" i="21"/>
  <c r="G15" i="21"/>
  <c r="G14" i="21"/>
  <c r="M11" i="21"/>
  <c r="I11" i="21"/>
  <c r="H11" i="21"/>
  <c r="E11" i="21"/>
  <c r="D11" i="21"/>
  <c r="O10" i="21"/>
  <c r="C10" i="21"/>
  <c r="O9" i="21"/>
  <c r="C9" i="21"/>
  <c r="O8" i="21"/>
  <c r="Q28" i="21" s="1"/>
  <c r="G8" i="21"/>
  <c r="J8" i="21" s="1"/>
  <c r="C8" i="21"/>
  <c r="S27" i="21"/>
  <c r="O7" i="21"/>
  <c r="O4" i="21"/>
  <c r="O3" i="21"/>
  <c r="P31" i="20"/>
  <c r="P29" i="20"/>
  <c r="P28" i="20"/>
  <c r="L8" i="20"/>
  <c r="L9" i="20"/>
  <c r="L10" i="20"/>
  <c r="L7" i="20"/>
  <c r="L11" i="20" s="1"/>
  <c r="H47" i="20"/>
  <c r="D47" i="20"/>
  <c r="E48" i="20" s="1"/>
  <c r="B46" i="20"/>
  <c r="G7" i="20" s="1"/>
  <c r="J7" i="20" s="1"/>
  <c r="K45" i="20"/>
  <c r="J45" i="20"/>
  <c r="B45" i="20"/>
  <c r="G10" i="20" s="1"/>
  <c r="N10" i="20" s="1"/>
  <c r="B44" i="20"/>
  <c r="K43" i="20"/>
  <c r="I43" i="20" s="1"/>
  <c r="B43" i="20"/>
  <c r="G9" i="20" s="1"/>
  <c r="N9" i="20" s="1"/>
  <c r="K42" i="20"/>
  <c r="L26" i="20" s="1"/>
  <c r="C7" i="20" s="1"/>
  <c r="B42" i="20"/>
  <c r="G39" i="20"/>
  <c r="E39" i="20"/>
  <c r="O38" i="20"/>
  <c r="L38" i="20"/>
  <c r="F38" i="20"/>
  <c r="H38" i="20" s="1"/>
  <c r="C38" i="20"/>
  <c r="P16" i="20" s="1"/>
  <c r="B38" i="20"/>
  <c r="O37" i="20"/>
  <c r="F37" i="20"/>
  <c r="H37" i="20" s="1"/>
  <c r="H36" i="20"/>
  <c r="F35" i="20"/>
  <c r="H35" i="20" s="1"/>
  <c r="F34" i="20"/>
  <c r="H34" i="20" s="1"/>
  <c r="L33" i="20"/>
  <c r="O36" i="20" s="1"/>
  <c r="G30" i="20"/>
  <c r="G29" i="20"/>
  <c r="G28" i="20"/>
  <c r="G27" i="20"/>
  <c r="Q26" i="20"/>
  <c r="P26" i="20"/>
  <c r="G26" i="20"/>
  <c r="J25" i="20"/>
  <c r="J28" i="20" s="1"/>
  <c r="G25" i="20"/>
  <c r="G24" i="20"/>
  <c r="G23" i="20"/>
  <c r="P22" i="20"/>
  <c r="G22" i="20"/>
  <c r="G21" i="20"/>
  <c r="G20" i="20"/>
  <c r="L19" i="20"/>
  <c r="J19" i="20"/>
  <c r="J23" i="20" s="1"/>
  <c r="G19" i="20"/>
  <c r="G18" i="20"/>
  <c r="G17" i="20"/>
  <c r="G16" i="20"/>
  <c r="G15" i="20"/>
  <c r="G14" i="20"/>
  <c r="M11" i="20"/>
  <c r="I11" i="20"/>
  <c r="H11" i="20"/>
  <c r="E11" i="20"/>
  <c r="D11" i="20"/>
  <c r="O10" i="20"/>
  <c r="Q31" i="20" s="1"/>
  <c r="C10" i="20"/>
  <c r="O9" i="20"/>
  <c r="C9" i="20"/>
  <c r="O8" i="20"/>
  <c r="G8" i="20"/>
  <c r="J8" i="20" s="1"/>
  <c r="C8" i="20"/>
  <c r="S27" i="20"/>
  <c r="O7" i="20"/>
  <c r="O4" i="20"/>
  <c r="O3" i="20"/>
  <c r="L8" i="19"/>
  <c r="L9" i="19"/>
  <c r="L10" i="19"/>
  <c r="L7" i="19"/>
  <c r="H47" i="19"/>
  <c r="D47" i="19"/>
  <c r="E48" i="19" s="1"/>
  <c r="B46" i="19"/>
  <c r="G7" i="19" s="1"/>
  <c r="K45" i="19"/>
  <c r="J45" i="19"/>
  <c r="B45" i="19"/>
  <c r="G10" i="19" s="1"/>
  <c r="N10" i="19" s="1"/>
  <c r="B44" i="19"/>
  <c r="K43" i="19"/>
  <c r="I43" i="19"/>
  <c r="B43" i="19"/>
  <c r="G9" i="19" s="1"/>
  <c r="K42" i="19"/>
  <c r="B42" i="19"/>
  <c r="G39" i="19"/>
  <c r="E39" i="19"/>
  <c r="O38" i="19"/>
  <c r="L38" i="19"/>
  <c r="F38" i="19"/>
  <c r="H38" i="19" s="1"/>
  <c r="C38" i="19"/>
  <c r="P16" i="19" s="1"/>
  <c r="B38" i="19"/>
  <c r="O37" i="19"/>
  <c r="F37" i="19"/>
  <c r="H37" i="19" s="1"/>
  <c r="H36" i="19"/>
  <c r="F35" i="19"/>
  <c r="H35" i="19" s="1"/>
  <c r="F34" i="19"/>
  <c r="H34" i="19" s="1"/>
  <c r="L33" i="19"/>
  <c r="O36" i="19" s="1"/>
  <c r="P31" i="19"/>
  <c r="G30" i="19"/>
  <c r="P29" i="19"/>
  <c r="G29" i="19"/>
  <c r="P28" i="19"/>
  <c r="G28" i="19"/>
  <c r="G27" i="19"/>
  <c r="Q26" i="19"/>
  <c r="P26" i="19"/>
  <c r="L26" i="19"/>
  <c r="C7" i="19" s="1"/>
  <c r="G26" i="19"/>
  <c r="J25" i="19"/>
  <c r="J28" i="19" s="1"/>
  <c r="G25" i="19"/>
  <c r="G24" i="19"/>
  <c r="G23" i="19"/>
  <c r="P22" i="19"/>
  <c r="G22" i="19"/>
  <c r="G21" i="19"/>
  <c r="G20" i="19"/>
  <c r="L19" i="19"/>
  <c r="J19" i="19"/>
  <c r="J23" i="19" s="1"/>
  <c r="G19" i="19"/>
  <c r="G18" i="19"/>
  <c r="G17" i="19"/>
  <c r="G16" i="19"/>
  <c r="G15" i="19"/>
  <c r="G14" i="19"/>
  <c r="M11" i="19"/>
  <c r="I11" i="19"/>
  <c r="H11" i="19"/>
  <c r="E11" i="19"/>
  <c r="D11" i="19"/>
  <c r="O10" i="19"/>
  <c r="C10" i="19"/>
  <c r="O9" i="19"/>
  <c r="Q29" i="19" s="1"/>
  <c r="C9" i="19"/>
  <c r="O8" i="19"/>
  <c r="Q28" i="19" s="1"/>
  <c r="C8" i="19"/>
  <c r="S27" i="19"/>
  <c r="O7" i="19"/>
  <c r="O4" i="19"/>
  <c r="O3" i="19"/>
  <c r="L8" i="18"/>
  <c r="L9" i="18"/>
  <c r="L10" i="18"/>
  <c r="L7" i="18"/>
  <c r="H47" i="18"/>
  <c r="D47" i="18"/>
  <c r="E48" i="18" s="1"/>
  <c r="B46" i="18"/>
  <c r="K45" i="18"/>
  <c r="J45" i="18"/>
  <c r="B45" i="18"/>
  <c r="G10" i="18" s="1"/>
  <c r="N10" i="18" s="1"/>
  <c r="B44" i="18"/>
  <c r="K43" i="18"/>
  <c r="L47" i="18" s="1"/>
  <c r="B43" i="18"/>
  <c r="G9" i="18" s="1"/>
  <c r="J9" i="18" s="1"/>
  <c r="K42" i="18"/>
  <c r="L26" i="18" s="1"/>
  <c r="C7" i="18" s="1"/>
  <c r="B42" i="18"/>
  <c r="G8" i="18" s="1"/>
  <c r="G39" i="18"/>
  <c r="E39" i="18"/>
  <c r="O38" i="18"/>
  <c r="L38" i="18"/>
  <c r="F38" i="18"/>
  <c r="H38" i="18" s="1"/>
  <c r="C38" i="18"/>
  <c r="P16" i="18" s="1"/>
  <c r="B38" i="18"/>
  <c r="P15" i="18" s="1"/>
  <c r="O37" i="18"/>
  <c r="F37" i="18"/>
  <c r="H37" i="18" s="1"/>
  <c r="H36" i="18"/>
  <c r="F35" i="18"/>
  <c r="H35" i="18" s="1"/>
  <c r="F34" i="18"/>
  <c r="H34" i="18" s="1"/>
  <c r="L33" i="18"/>
  <c r="O36" i="18" s="1"/>
  <c r="P31" i="18"/>
  <c r="G30" i="18"/>
  <c r="P29" i="18"/>
  <c r="G29" i="18"/>
  <c r="P28" i="18"/>
  <c r="G28" i="18"/>
  <c r="G27" i="18"/>
  <c r="Q26" i="18"/>
  <c r="P26" i="18"/>
  <c r="G26" i="18"/>
  <c r="J25" i="18"/>
  <c r="J28" i="18" s="1"/>
  <c r="G25" i="18"/>
  <c r="G24" i="18"/>
  <c r="G23" i="18"/>
  <c r="P22" i="18"/>
  <c r="G22" i="18"/>
  <c r="G21" i="18"/>
  <c r="G20" i="18"/>
  <c r="L19" i="18"/>
  <c r="J19" i="18"/>
  <c r="J23" i="18" s="1"/>
  <c r="G19" i="18"/>
  <c r="G18" i="18"/>
  <c r="G17" i="18"/>
  <c r="G16" i="18"/>
  <c r="G15" i="18"/>
  <c r="G14" i="18"/>
  <c r="M11" i="18"/>
  <c r="I11" i="18"/>
  <c r="H11" i="18"/>
  <c r="E11" i="18"/>
  <c r="D11" i="18"/>
  <c r="O10" i="18"/>
  <c r="Q31" i="18" s="1"/>
  <c r="C10" i="18"/>
  <c r="O9" i="18"/>
  <c r="C9" i="18"/>
  <c r="O8" i="18"/>
  <c r="Q28" i="18" s="1"/>
  <c r="C8" i="18"/>
  <c r="S27" i="18"/>
  <c r="O7" i="18"/>
  <c r="G7" i="18"/>
  <c r="N7" i="18" s="1"/>
  <c r="O4" i="18"/>
  <c r="O3" i="18"/>
  <c r="L8" i="17"/>
  <c r="L9" i="17"/>
  <c r="L10" i="17"/>
  <c r="L7" i="17"/>
  <c r="H47" i="17"/>
  <c r="D47" i="17"/>
  <c r="E48" i="17" s="1"/>
  <c r="B46" i="17"/>
  <c r="G7" i="17" s="1"/>
  <c r="K45" i="17"/>
  <c r="J45" i="17"/>
  <c r="B45" i="17"/>
  <c r="G10" i="17" s="1"/>
  <c r="N10" i="17" s="1"/>
  <c r="B44" i="17"/>
  <c r="K43" i="17"/>
  <c r="I43" i="17" s="1"/>
  <c r="B43" i="17"/>
  <c r="G9" i="17" s="1"/>
  <c r="K42" i="17"/>
  <c r="L26" i="17" s="1"/>
  <c r="C7" i="17" s="1"/>
  <c r="B42" i="17"/>
  <c r="G8" i="17" s="1"/>
  <c r="G39" i="17"/>
  <c r="E39" i="17"/>
  <c r="O38" i="17"/>
  <c r="L38" i="17"/>
  <c r="F38" i="17"/>
  <c r="H38" i="17" s="1"/>
  <c r="C38" i="17"/>
  <c r="P16" i="17" s="1"/>
  <c r="B38" i="17"/>
  <c r="P15" i="17" s="1"/>
  <c r="O37" i="17"/>
  <c r="F37" i="17"/>
  <c r="H37" i="17" s="1"/>
  <c r="H36" i="17"/>
  <c r="F35" i="17"/>
  <c r="H35" i="17" s="1"/>
  <c r="F34" i="17"/>
  <c r="H34" i="17" s="1"/>
  <c r="L33" i="17"/>
  <c r="O36" i="17" s="1"/>
  <c r="P31" i="17"/>
  <c r="G30" i="17"/>
  <c r="P29" i="17"/>
  <c r="G29" i="17"/>
  <c r="P28" i="17"/>
  <c r="G28" i="17"/>
  <c r="G27" i="17"/>
  <c r="Q26" i="17"/>
  <c r="P26" i="17"/>
  <c r="G26" i="17"/>
  <c r="J25" i="17"/>
  <c r="J28" i="17" s="1"/>
  <c r="G25" i="17"/>
  <c r="G24" i="17"/>
  <c r="G23" i="17"/>
  <c r="P22" i="17"/>
  <c r="G22" i="17"/>
  <c r="G21" i="17"/>
  <c r="G20" i="17"/>
  <c r="L19" i="17"/>
  <c r="J19" i="17"/>
  <c r="J23" i="17" s="1"/>
  <c r="G19" i="17"/>
  <c r="G18" i="17"/>
  <c r="G17" i="17"/>
  <c r="G16" i="17"/>
  <c r="G15" i="17"/>
  <c r="G14" i="17"/>
  <c r="M11" i="17"/>
  <c r="I11" i="17"/>
  <c r="H11" i="17"/>
  <c r="E11" i="17"/>
  <c r="D11" i="17"/>
  <c r="O10" i="17"/>
  <c r="C10" i="17"/>
  <c r="O9" i="17"/>
  <c r="C9" i="17"/>
  <c r="O8" i="17"/>
  <c r="C8" i="17"/>
  <c r="S27" i="17"/>
  <c r="O7" i="17"/>
  <c r="O4" i="17"/>
  <c r="O3" i="17"/>
  <c r="L8" i="16"/>
  <c r="L9" i="16"/>
  <c r="L10" i="16"/>
  <c r="L11" i="16" s="1"/>
  <c r="L7" i="16"/>
  <c r="H47" i="16"/>
  <c r="D47" i="16"/>
  <c r="E48" i="16" s="1"/>
  <c r="B46" i="16"/>
  <c r="G7" i="16" s="1"/>
  <c r="K45" i="16"/>
  <c r="J45" i="16"/>
  <c r="B45" i="16"/>
  <c r="G10" i="16" s="1"/>
  <c r="B44" i="16"/>
  <c r="K43" i="16"/>
  <c r="I43" i="16" s="1"/>
  <c r="B43" i="16"/>
  <c r="G9" i="16" s="1"/>
  <c r="N9" i="16" s="1"/>
  <c r="K42" i="16"/>
  <c r="L26" i="16" s="1"/>
  <c r="C7" i="16" s="1"/>
  <c r="B42" i="16"/>
  <c r="G8" i="16" s="1"/>
  <c r="N8" i="16" s="1"/>
  <c r="G39" i="16"/>
  <c r="E39" i="16"/>
  <c r="O38" i="16"/>
  <c r="L38" i="16"/>
  <c r="F38" i="16"/>
  <c r="H38" i="16" s="1"/>
  <c r="C38" i="16"/>
  <c r="P16" i="16" s="1"/>
  <c r="B38" i="16"/>
  <c r="O37" i="16"/>
  <c r="F37" i="16"/>
  <c r="H37" i="16" s="1"/>
  <c r="H36" i="16"/>
  <c r="F35" i="16"/>
  <c r="H35" i="16" s="1"/>
  <c r="F34" i="16"/>
  <c r="H34" i="16" s="1"/>
  <c r="L33" i="16"/>
  <c r="O36" i="16" s="1"/>
  <c r="P31" i="16"/>
  <c r="G30" i="16"/>
  <c r="P29" i="16"/>
  <c r="G29" i="16"/>
  <c r="P28" i="16"/>
  <c r="G28" i="16"/>
  <c r="G27" i="16"/>
  <c r="Q26" i="16"/>
  <c r="P26" i="16"/>
  <c r="G26" i="16"/>
  <c r="J25" i="16"/>
  <c r="J28" i="16" s="1"/>
  <c r="G25" i="16"/>
  <c r="G23" i="16"/>
  <c r="P22" i="16"/>
  <c r="G22" i="16"/>
  <c r="G21" i="16"/>
  <c r="G20" i="16"/>
  <c r="L19" i="16"/>
  <c r="J19" i="16"/>
  <c r="J23" i="16" s="1"/>
  <c r="G19" i="16"/>
  <c r="G18" i="16"/>
  <c r="G17" i="16"/>
  <c r="G16" i="16"/>
  <c r="G15" i="16"/>
  <c r="G14" i="16"/>
  <c r="M11" i="16"/>
  <c r="I11" i="16"/>
  <c r="H11" i="16"/>
  <c r="E11" i="16"/>
  <c r="D11" i="16"/>
  <c r="O10" i="16"/>
  <c r="C10" i="16"/>
  <c r="O9" i="16"/>
  <c r="Q29" i="16" s="1"/>
  <c r="C9" i="16"/>
  <c r="O8" i="16"/>
  <c r="C8" i="16"/>
  <c r="O7" i="16"/>
  <c r="O4" i="16"/>
  <c r="O3" i="16"/>
  <c r="E24" i="14"/>
  <c r="E26" i="14"/>
  <c r="G26" i="14" s="1"/>
  <c r="L8" i="14"/>
  <c r="L9" i="14"/>
  <c r="L10" i="14"/>
  <c r="L7" i="14"/>
  <c r="H47" i="14"/>
  <c r="D47" i="14"/>
  <c r="E48" i="14" s="1"/>
  <c r="B46" i="14"/>
  <c r="G7" i="14" s="1"/>
  <c r="N7" i="14" s="1"/>
  <c r="K45" i="14"/>
  <c r="I45" i="14" s="1"/>
  <c r="J45" i="14"/>
  <c r="B45" i="14"/>
  <c r="G10" i="14" s="1"/>
  <c r="B44" i="14"/>
  <c r="K43" i="14"/>
  <c r="B43" i="14"/>
  <c r="G9" i="14" s="1"/>
  <c r="K42" i="14"/>
  <c r="B42" i="14"/>
  <c r="G8" i="14" s="1"/>
  <c r="J8" i="14" s="1"/>
  <c r="G39" i="14"/>
  <c r="E39" i="14"/>
  <c r="O38" i="14"/>
  <c r="L38" i="14"/>
  <c r="F38" i="14"/>
  <c r="H38" i="14" s="1"/>
  <c r="C38" i="14"/>
  <c r="P16" i="14" s="1"/>
  <c r="B38" i="14"/>
  <c r="P15" i="14" s="1"/>
  <c r="O37" i="14"/>
  <c r="F37" i="14"/>
  <c r="H37" i="14" s="1"/>
  <c r="H36" i="14"/>
  <c r="F35" i="14"/>
  <c r="H35" i="14" s="1"/>
  <c r="F34" i="14"/>
  <c r="H34" i="14" s="1"/>
  <c r="L33" i="14"/>
  <c r="O36" i="14" s="1"/>
  <c r="P31" i="14"/>
  <c r="G30" i="14"/>
  <c r="P29" i="14"/>
  <c r="G29" i="14"/>
  <c r="P28" i="14"/>
  <c r="G28" i="14"/>
  <c r="G27" i="14"/>
  <c r="Q26" i="14"/>
  <c r="P26" i="14"/>
  <c r="L26" i="14"/>
  <c r="C7" i="14" s="1"/>
  <c r="J25" i="14"/>
  <c r="J28" i="14" s="1"/>
  <c r="G25" i="14"/>
  <c r="G24" i="14"/>
  <c r="G23" i="14"/>
  <c r="P22" i="14"/>
  <c r="G22" i="14"/>
  <c r="G21" i="14"/>
  <c r="G20" i="14"/>
  <c r="L19" i="14"/>
  <c r="J19" i="14"/>
  <c r="J23" i="14" s="1"/>
  <c r="G19" i="14"/>
  <c r="G18" i="14"/>
  <c r="G17" i="14"/>
  <c r="G16" i="14"/>
  <c r="G15" i="14"/>
  <c r="G14" i="14"/>
  <c r="M11" i="14"/>
  <c r="I11" i="14"/>
  <c r="H11" i="14"/>
  <c r="E11" i="14"/>
  <c r="D11" i="14"/>
  <c r="O10" i="14"/>
  <c r="Q31" i="14" s="1"/>
  <c r="C10" i="14"/>
  <c r="O9" i="14"/>
  <c r="Q29" i="14" s="1"/>
  <c r="C9" i="14"/>
  <c r="O8" i="14"/>
  <c r="C8" i="14"/>
  <c r="O7" i="14"/>
  <c r="O4" i="14"/>
  <c r="O3" i="14"/>
  <c r="L8" i="13"/>
  <c r="L9" i="13"/>
  <c r="L10" i="13"/>
  <c r="L7" i="13"/>
  <c r="E25" i="13"/>
  <c r="B35" i="12"/>
  <c r="B38" i="12" s="1"/>
  <c r="P15" i="12" s="1"/>
  <c r="H47" i="13"/>
  <c r="D47" i="13"/>
  <c r="E48" i="13" s="1"/>
  <c r="B46" i="13"/>
  <c r="G7" i="13" s="1"/>
  <c r="K45" i="13"/>
  <c r="J45" i="13"/>
  <c r="B45" i="13"/>
  <c r="G10" i="13" s="1"/>
  <c r="B44" i="13"/>
  <c r="K43" i="13"/>
  <c r="I43" i="13" s="1"/>
  <c r="B43" i="13"/>
  <c r="G9" i="13" s="1"/>
  <c r="K42" i="13"/>
  <c r="L26" i="13" s="1"/>
  <c r="C7" i="13" s="1"/>
  <c r="B42" i="13"/>
  <c r="G8" i="13" s="1"/>
  <c r="G39" i="13"/>
  <c r="E39" i="13"/>
  <c r="O38" i="13"/>
  <c r="L38" i="13"/>
  <c r="F38" i="13"/>
  <c r="H38" i="13" s="1"/>
  <c r="C38" i="13"/>
  <c r="P16" i="13" s="1"/>
  <c r="B38" i="13"/>
  <c r="O37" i="13"/>
  <c r="F37" i="13"/>
  <c r="H37" i="13" s="1"/>
  <c r="H36" i="13"/>
  <c r="F35" i="13"/>
  <c r="H35" i="13" s="1"/>
  <c r="F34" i="13"/>
  <c r="H34" i="13" s="1"/>
  <c r="L33" i="13"/>
  <c r="O36" i="13" s="1"/>
  <c r="P31" i="13"/>
  <c r="G30" i="13"/>
  <c r="P29" i="13"/>
  <c r="G29" i="13"/>
  <c r="P28" i="13"/>
  <c r="G28" i="13"/>
  <c r="G27" i="13"/>
  <c r="Q26" i="13"/>
  <c r="P26" i="13"/>
  <c r="G26" i="13"/>
  <c r="J25" i="13"/>
  <c r="J28" i="13" s="1"/>
  <c r="G25" i="13"/>
  <c r="G24" i="13"/>
  <c r="G23" i="13"/>
  <c r="P22" i="13"/>
  <c r="G22" i="13"/>
  <c r="G21" i="13"/>
  <c r="G20" i="13"/>
  <c r="L19" i="13"/>
  <c r="J19" i="13"/>
  <c r="J23" i="13" s="1"/>
  <c r="G19" i="13"/>
  <c r="G18" i="13"/>
  <c r="G17" i="13"/>
  <c r="G16" i="13"/>
  <c r="G15" i="13"/>
  <c r="G14" i="13"/>
  <c r="M11" i="13"/>
  <c r="I11" i="13"/>
  <c r="H11" i="13"/>
  <c r="E11" i="13"/>
  <c r="D11" i="13"/>
  <c r="O10" i="13"/>
  <c r="Q31" i="13" s="1"/>
  <c r="C10" i="13"/>
  <c r="O9" i="13"/>
  <c r="Q29" i="13" s="1"/>
  <c r="C9" i="13"/>
  <c r="O8" i="13"/>
  <c r="C8" i="13"/>
  <c r="S27" i="13"/>
  <c r="O7" i="13"/>
  <c r="O4" i="13"/>
  <c r="O3" i="13"/>
  <c r="J33" i="12"/>
  <c r="L38" i="12"/>
  <c r="P18" i="12"/>
  <c r="L8" i="12"/>
  <c r="L9" i="12"/>
  <c r="L11" i="12"/>
  <c r="L10" i="12"/>
  <c r="L7" i="12"/>
  <c r="H47" i="12"/>
  <c r="D47" i="12"/>
  <c r="E48" i="12" s="1"/>
  <c r="B46" i="12"/>
  <c r="K45" i="12"/>
  <c r="J45" i="12"/>
  <c r="B45" i="12"/>
  <c r="G10" i="12" s="1"/>
  <c r="B44" i="12"/>
  <c r="K43" i="12"/>
  <c r="I43" i="12" s="1"/>
  <c r="B43" i="12"/>
  <c r="G9" i="12" s="1"/>
  <c r="K42" i="12"/>
  <c r="L26" i="12" s="1"/>
  <c r="C7" i="12" s="1"/>
  <c r="B42" i="12"/>
  <c r="G8" i="12" s="1"/>
  <c r="J8" i="12" s="1"/>
  <c r="G39" i="12"/>
  <c r="E39" i="12"/>
  <c r="O38" i="12"/>
  <c r="F38" i="12"/>
  <c r="H38" i="12" s="1"/>
  <c r="C38" i="12"/>
  <c r="P16" i="12" s="1"/>
  <c r="O37" i="12"/>
  <c r="O39" i="12" s="1"/>
  <c r="F37" i="12"/>
  <c r="H37" i="12" s="1"/>
  <c r="H36" i="12"/>
  <c r="F35" i="12"/>
  <c r="H35" i="12" s="1"/>
  <c r="F34" i="12"/>
  <c r="H34" i="12" s="1"/>
  <c r="L33" i="12"/>
  <c r="O36" i="12" s="1"/>
  <c r="P31" i="12"/>
  <c r="G30" i="12"/>
  <c r="P29" i="12"/>
  <c r="G29" i="12"/>
  <c r="P28" i="12"/>
  <c r="G28" i="12"/>
  <c r="G27" i="12"/>
  <c r="Q26" i="12"/>
  <c r="P26" i="12"/>
  <c r="G26" i="12"/>
  <c r="J25" i="12"/>
  <c r="J28" i="12" s="1"/>
  <c r="G25" i="12"/>
  <c r="G24" i="12"/>
  <c r="G23" i="12"/>
  <c r="P22" i="12"/>
  <c r="G22" i="12"/>
  <c r="G21" i="12"/>
  <c r="G20" i="12"/>
  <c r="L19" i="12"/>
  <c r="J19" i="12"/>
  <c r="J23" i="12" s="1"/>
  <c r="G19" i="12"/>
  <c r="G18" i="12"/>
  <c r="G17" i="12"/>
  <c r="G16" i="12"/>
  <c r="G15" i="12"/>
  <c r="G14" i="12"/>
  <c r="M11" i="12"/>
  <c r="I11" i="12"/>
  <c r="H11" i="12"/>
  <c r="E11" i="12"/>
  <c r="D11" i="12"/>
  <c r="O10" i="12"/>
  <c r="C10" i="12"/>
  <c r="O9" i="12"/>
  <c r="Q29" i="12" s="1"/>
  <c r="C9" i="12"/>
  <c r="O8" i="12"/>
  <c r="C8" i="12"/>
  <c r="S27" i="12"/>
  <c r="O7" i="12"/>
  <c r="G7" i="12"/>
  <c r="O4" i="12"/>
  <c r="O3" i="12"/>
  <c r="P28" i="11"/>
  <c r="L38" i="11"/>
  <c r="L8" i="11"/>
  <c r="L9" i="11"/>
  <c r="L10" i="11"/>
  <c r="L7" i="11"/>
  <c r="H47" i="11"/>
  <c r="D47" i="11"/>
  <c r="E48" i="11" s="1"/>
  <c r="B46" i="11"/>
  <c r="G7" i="11" s="1"/>
  <c r="N7" i="11" s="1"/>
  <c r="K45" i="11"/>
  <c r="J45" i="11"/>
  <c r="B45" i="11"/>
  <c r="B44" i="11"/>
  <c r="K43" i="11"/>
  <c r="L47" i="11" s="1"/>
  <c r="B43" i="11"/>
  <c r="G9" i="11" s="1"/>
  <c r="N9" i="11" s="1"/>
  <c r="K42" i="11"/>
  <c r="L26" i="11" s="1"/>
  <c r="C7" i="11" s="1"/>
  <c r="B42" i="11"/>
  <c r="G8" i="11" s="1"/>
  <c r="N8" i="11" s="1"/>
  <c r="G39" i="11"/>
  <c r="E39" i="11"/>
  <c r="O38" i="11"/>
  <c r="F38" i="11"/>
  <c r="H38" i="11" s="1"/>
  <c r="C38" i="11"/>
  <c r="B38" i="11"/>
  <c r="P15" i="11" s="1"/>
  <c r="O37" i="11"/>
  <c r="F37" i="11"/>
  <c r="H37" i="11" s="1"/>
  <c r="H36" i="11"/>
  <c r="F35" i="11"/>
  <c r="H35" i="11" s="1"/>
  <c r="F34" i="11"/>
  <c r="H34" i="11" s="1"/>
  <c r="L33" i="11"/>
  <c r="O36" i="11" s="1"/>
  <c r="P31" i="11"/>
  <c r="G30" i="11"/>
  <c r="P29" i="11"/>
  <c r="G29" i="11"/>
  <c r="G28" i="11"/>
  <c r="G27" i="11"/>
  <c r="Q26" i="11"/>
  <c r="P26" i="11"/>
  <c r="G26" i="11"/>
  <c r="J25" i="11"/>
  <c r="J28" i="11" s="1"/>
  <c r="G25" i="11"/>
  <c r="G24" i="11"/>
  <c r="G23" i="11"/>
  <c r="P22" i="11"/>
  <c r="G22" i="11"/>
  <c r="G21" i="11"/>
  <c r="G20" i="11"/>
  <c r="L19" i="11"/>
  <c r="J19" i="11"/>
  <c r="J23" i="11" s="1"/>
  <c r="G19" i="11"/>
  <c r="G18" i="11"/>
  <c r="G17" i="11"/>
  <c r="P16" i="11"/>
  <c r="G16" i="11"/>
  <c r="G15" i="11"/>
  <c r="G14" i="11"/>
  <c r="M11" i="11"/>
  <c r="I11" i="11"/>
  <c r="H11" i="11"/>
  <c r="E11" i="11"/>
  <c r="D11" i="11"/>
  <c r="O10" i="11"/>
  <c r="G10" i="11"/>
  <c r="N10" i="11" s="1"/>
  <c r="C10" i="11"/>
  <c r="O9" i="11"/>
  <c r="Q29" i="11" s="1"/>
  <c r="C9" i="11"/>
  <c r="O8" i="11"/>
  <c r="C8" i="11"/>
  <c r="S27" i="11"/>
  <c r="O7" i="11"/>
  <c r="O4" i="11"/>
  <c r="O3" i="11"/>
  <c r="L8" i="10"/>
  <c r="L9" i="10"/>
  <c r="L10" i="10"/>
  <c r="L7" i="10"/>
  <c r="H47" i="10"/>
  <c r="D47" i="10"/>
  <c r="E48" i="10" s="1"/>
  <c r="B46" i="10"/>
  <c r="G7" i="10" s="1"/>
  <c r="K45" i="10"/>
  <c r="J45" i="10"/>
  <c r="B45" i="10"/>
  <c r="G10" i="10" s="1"/>
  <c r="N10" i="10" s="1"/>
  <c r="B44" i="10"/>
  <c r="K43" i="10"/>
  <c r="B43" i="10"/>
  <c r="G9" i="10" s="1"/>
  <c r="K42" i="10"/>
  <c r="L26" i="10" s="1"/>
  <c r="C7" i="10" s="1"/>
  <c r="B42" i="10"/>
  <c r="G39" i="10"/>
  <c r="E39" i="10"/>
  <c r="O38" i="10"/>
  <c r="L38" i="10"/>
  <c r="F38" i="10"/>
  <c r="H38" i="10" s="1"/>
  <c r="C38" i="10"/>
  <c r="P16" i="10" s="1"/>
  <c r="B38" i="10"/>
  <c r="P15" i="10" s="1"/>
  <c r="O37" i="10"/>
  <c r="F37" i="10"/>
  <c r="H37" i="10" s="1"/>
  <c r="H36" i="10"/>
  <c r="F35" i="10"/>
  <c r="H35" i="10" s="1"/>
  <c r="F34" i="10"/>
  <c r="H34" i="10" s="1"/>
  <c r="L33" i="10"/>
  <c r="O36" i="10" s="1"/>
  <c r="P31" i="10"/>
  <c r="G30" i="10"/>
  <c r="P29" i="10"/>
  <c r="G29" i="10"/>
  <c r="P28" i="10"/>
  <c r="G28" i="10"/>
  <c r="G27" i="10"/>
  <c r="Q26" i="10"/>
  <c r="P26" i="10"/>
  <c r="G26" i="10"/>
  <c r="J25" i="10"/>
  <c r="J28" i="10" s="1"/>
  <c r="G25" i="10"/>
  <c r="G24" i="10"/>
  <c r="G23" i="10"/>
  <c r="P22" i="10"/>
  <c r="G22" i="10"/>
  <c r="G21" i="10"/>
  <c r="G20" i="10"/>
  <c r="L19" i="10"/>
  <c r="J19" i="10"/>
  <c r="J23" i="10" s="1"/>
  <c r="G19" i="10"/>
  <c r="G18" i="10"/>
  <c r="G17" i="10"/>
  <c r="G16" i="10"/>
  <c r="G15" i="10"/>
  <c r="G14" i="10"/>
  <c r="M11" i="10"/>
  <c r="I11" i="10"/>
  <c r="H11" i="10"/>
  <c r="E11" i="10"/>
  <c r="D11" i="10"/>
  <c r="O10" i="10"/>
  <c r="C10" i="10"/>
  <c r="O9" i="10"/>
  <c r="Q29" i="10" s="1"/>
  <c r="C9" i="10"/>
  <c r="O8" i="10"/>
  <c r="Q28" i="10" s="1"/>
  <c r="C8" i="10"/>
  <c r="O7" i="10"/>
  <c r="O4" i="10"/>
  <c r="O3" i="10"/>
  <c r="L8" i="9"/>
  <c r="L9" i="9"/>
  <c r="L10" i="9"/>
  <c r="L7" i="9"/>
  <c r="H47" i="9"/>
  <c r="D47" i="9"/>
  <c r="E48" i="9" s="1"/>
  <c r="B46" i="9"/>
  <c r="K45" i="9"/>
  <c r="J45" i="9"/>
  <c r="B45" i="9"/>
  <c r="G10" i="9" s="1"/>
  <c r="B44" i="9"/>
  <c r="K43" i="9"/>
  <c r="I43" i="9" s="1"/>
  <c r="B43" i="9"/>
  <c r="G9" i="9" s="1"/>
  <c r="K42" i="9"/>
  <c r="L26" i="9" s="1"/>
  <c r="C7" i="9" s="1"/>
  <c r="B42" i="9"/>
  <c r="G8" i="9" s="1"/>
  <c r="G39" i="9"/>
  <c r="E39" i="9"/>
  <c r="O38" i="9"/>
  <c r="L38" i="9"/>
  <c r="F38" i="9"/>
  <c r="H38" i="9" s="1"/>
  <c r="C38" i="9"/>
  <c r="P16" i="9" s="1"/>
  <c r="B38" i="9"/>
  <c r="P15" i="9" s="1"/>
  <c r="O37" i="9"/>
  <c r="F37" i="9"/>
  <c r="H37" i="9" s="1"/>
  <c r="H36" i="9"/>
  <c r="F35" i="9"/>
  <c r="H35" i="9" s="1"/>
  <c r="F34" i="9"/>
  <c r="H34" i="9" s="1"/>
  <c r="L33" i="9"/>
  <c r="O36" i="9" s="1"/>
  <c r="P31" i="9"/>
  <c r="G30" i="9"/>
  <c r="P29" i="9"/>
  <c r="G29" i="9"/>
  <c r="P28" i="9"/>
  <c r="G28" i="9"/>
  <c r="G27" i="9"/>
  <c r="Q26" i="9"/>
  <c r="P26" i="9"/>
  <c r="G26" i="9"/>
  <c r="J25" i="9"/>
  <c r="J28" i="9" s="1"/>
  <c r="G25" i="9"/>
  <c r="G24" i="9"/>
  <c r="G23" i="9"/>
  <c r="P22" i="9"/>
  <c r="G22" i="9"/>
  <c r="G21" i="9"/>
  <c r="G20" i="9"/>
  <c r="L19" i="9"/>
  <c r="J19" i="9"/>
  <c r="J23" i="9" s="1"/>
  <c r="G19" i="9"/>
  <c r="G18" i="9"/>
  <c r="G17" i="9"/>
  <c r="G16" i="9"/>
  <c r="G15" i="9"/>
  <c r="G14" i="9"/>
  <c r="M11" i="9"/>
  <c r="I11" i="9"/>
  <c r="H11" i="9"/>
  <c r="E11" i="9"/>
  <c r="D11" i="9"/>
  <c r="O10" i="9"/>
  <c r="C10" i="9"/>
  <c r="O9" i="9"/>
  <c r="Q29" i="9" s="1"/>
  <c r="C9" i="9"/>
  <c r="O8" i="9"/>
  <c r="C8" i="9"/>
  <c r="S27" i="9"/>
  <c r="O7" i="9"/>
  <c r="G7" i="9"/>
  <c r="J7" i="9" s="1"/>
  <c r="O4" i="9"/>
  <c r="O3" i="9"/>
  <c r="L8" i="8"/>
  <c r="L9" i="8"/>
  <c r="L10" i="8"/>
  <c r="L7" i="8"/>
  <c r="H47" i="8"/>
  <c r="D47" i="8"/>
  <c r="E48" i="8" s="1"/>
  <c r="B46" i="8"/>
  <c r="G7" i="8" s="1"/>
  <c r="K45" i="8"/>
  <c r="J45" i="8"/>
  <c r="B45" i="8"/>
  <c r="G10" i="8" s="1"/>
  <c r="B44" i="8"/>
  <c r="K43" i="8"/>
  <c r="I43" i="8" s="1"/>
  <c r="B43" i="8"/>
  <c r="G9" i="8" s="1"/>
  <c r="K42" i="8"/>
  <c r="L26" i="8" s="1"/>
  <c r="C7" i="8" s="1"/>
  <c r="B42" i="8"/>
  <c r="G8" i="8" s="1"/>
  <c r="G39" i="8"/>
  <c r="E39" i="8"/>
  <c r="O38" i="8"/>
  <c r="L38" i="8"/>
  <c r="F38" i="8"/>
  <c r="H38" i="8" s="1"/>
  <c r="C38" i="8"/>
  <c r="P16" i="8" s="1"/>
  <c r="B38" i="8"/>
  <c r="P15" i="8" s="1"/>
  <c r="O37" i="8"/>
  <c r="F37" i="8"/>
  <c r="H37" i="8" s="1"/>
  <c r="H36" i="8"/>
  <c r="F35" i="8"/>
  <c r="H35" i="8" s="1"/>
  <c r="F34" i="8"/>
  <c r="H34" i="8" s="1"/>
  <c r="L33" i="8"/>
  <c r="O36" i="8" s="1"/>
  <c r="P31" i="8"/>
  <c r="G30" i="8"/>
  <c r="P29" i="8"/>
  <c r="G29" i="8"/>
  <c r="P28" i="8"/>
  <c r="J28" i="8"/>
  <c r="G28" i="8"/>
  <c r="G27" i="8"/>
  <c r="Q26" i="8"/>
  <c r="P26" i="8"/>
  <c r="G26" i="8"/>
  <c r="J25" i="8"/>
  <c r="G25" i="8"/>
  <c r="G24" i="8"/>
  <c r="G23" i="8"/>
  <c r="P22" i="8"/>
  <c r="G22" i="8"/>
  <c r="G21" i="8"/>
  <c r="G20" i="8"/>
  <c r="L19" i="8"/>
  <c r="J19" i="8"/>
  <c r="J23" i="8" s="1"/>
  <c r="G19" i="8"/>
  <c r="G18" i="8"/>
  <c r="G17" i="8"/>
  <c r="G16" i="8"/>
  <c r="G15" i="8"/>
  <c r="G14" i="8"/>
  <c r="M11" i="8"/>
  <c r="I11" i="8"/>
  <c r="H11" i="8"/>
  <c r="E11" i="8"/>
  <c r="D11" i="8"/>
  <c r="O10" i="8"/>
  <c r="C10" i="8"/>
  <c r="O9" i="8"/>
  <c r="Q29" i="8" s="1"/>
  <c r="C9" i="8"/>
  <c r="O8" i="8"/>
  <c r="L20" i="8" s="1"/>
  <c r="C8" i="8"/>
  <c r="O7" i="8"/>
  <c r="O4" i="8"/>
  <c r="O3" i="8"/>
  <c r="L8" i="7"/>
  <c r="L9" i="7"/>
  <c r="L10" i="7"/>
  <c r="L7" i="7"/>
  <c r="H47" i="7"/>
  <c r="D47" i="7"/>
  <c r="E48" i="7" s="1"/>
  <c r="B46" i="7"/>
  <c r="G7" i="7" s="1"/>
  <c r="K45" i="7"/>
  <c r="J45" i="7"/>
  <c r="B45" i="7"/>
  <c r="G10" i="7" s="1"/>
  <c r="B44" i="7"/>
  <c r="K43" i="7"/>
  <c r="I43" i="7" s="1"/>
  <c r="B43" i="7"/>
  <c r="G9" i="7" s="1"/>
  <c r="K42" i="7"/>
  <c r="L26" i="7" s="1"/>
  <c r="C7" i="7" s="1"/>
  <c r="B42" i="7"/>
  <c r="G39" i="7"/>
  <c r="E39" i="7"/>
  <c r="O38" i="7"/>
  <c r="L38" i="7"/>
  <c r="F38" i="7"/>
  <c r="H38" i="7" s="1"/>
  <c r="C38" i="7"/>
  <c r="P16" i="7" s="1"/>
  <c r="B38" i="7"/>
  <c r="P15" i="7" s="1"/>
  <c r="O37" i="7"/>
  <c r="F37" i="7"/>
  <c r="H37" i="7" s="1"/>
  <c r="H36" i="7"/>
  <c r="F35" i="7"/>
  <c r="H35" i="7" s="1"/>
  <c r="F34" i="7"/>
  <c r="H34" i="7" s="1"/>
  <c r="L33" i="7"/>
  <c r="O36" i="7" s="1"/>
  <c r="P31" i="7"/>
  <c r="G30" i="7"/>
  <c r="P29" i="7"/>
  <c r="G29" i="7"/>
  <c r="P28" i="7"/>
  <c r="G28" i="7"/>
  <c r="G27" i="7"/>
  <c r="Q26" i="7"/>
  <c r="P26" i="7"/>
  <c r="G26" i="7"/>
  <c r="J25" i="7"/>
  <c r="J28" i="7" s="1"/>
  <c r="G25" i="7"/>
  <c r="G24" i="7"/>
  <c r="G23" i="7"/>
  <c r="P22" i="7"/>
  <c r="G22" i="7"/>
  <c r="G21" i="7"/>
  <c r="G20" i="7"/>
  <c r="L19" i="7"/>
  <c r="J19" i="7"/>
  <c r="J23" i="7" s="1"/>
  <c r="G19" i="7"/>
  <c r="G18" i="7"/>
  <c r="G17" i="7"/>
  <c r="G16" i="7"/>
  <c r="G15" i="7"/>
  <c r="G14" i="7"/>
  <c r="M11" i="7"/>
  <c r="I11" i="7"/>
  <c r="H11" i="7"/>
  <c r="E11" i="7"/>
  <c r="D11" i="7"/>
  <c r="O10" i="7"/>
  <c r="C10" i="7"/>
  <c r="O9" i="7"/>
  <c r="Q29" i="7" s="1"/>
  <c r="C9" i="7"/>
  <c r="O8" i="7"/>
  <c r="C8" i="7"/>
  <c r="O7" i="7"/>
  <c r="O4" i="7"/>
  <c r="O3" i="7"/>
  <c r="L8" i="6"/>
  <c r="L9" i="6"/>
  <c r="L10" i="6"/>
  <c r="L7" i="6"/>
  <c r="S27" i="6"/>
  <c r="H47" i="6"/>
  <c r="D47" i="6"/>
  <c r="E48" i="6" s="1"/>
  <c r="B46" i="6"/>
  <c r="G7" i="6" s="1"/>
  <c r="K45" i="6"/>
  <c r="J45" i="6"/>
  <c r="B45" i="6"/>
  <c r="G10" i="6" s="1"/>
  <c r="B44" i="6"/>
  <c r="K43" i="6"/>
  <c r="I43" i="6" s="1"/>
  <c r="B43" i="6"/>
  <c r="G9" i="6" s="1"/>
  <c r="K42" i="6"/>
  <c r="L26" i="6" s="1"/>
  <c r="C7" i="6" s="1"/>
  <c r="B42" i="6"/>
  <c r="G39" i="6"/>
  <c r="E39" i="6"/>
  <c r="O38" i="6"/>
  <c r="L38" i="6"/>
  <c r="F38" i="6"/>
  <c r="H38" i="6" s="1"/>
  <c r="C38" i="6"/>
  <c r="P16" i="6" s="1"/>
  <c r="B38" i="6"/>
  <c r="P15" i="6" s="1"/>
  <c r="O37" i="6"/>
  <c r="F37" i="6"/>
  <c r="H37" i="6" s="1"/>
  <c r="H36" i="6"/>
  <c r="F35" i="6"/>
  <c r="H35" i="6" s="1"/>
  <c r="F34" i="6"/>
  <c r="H34" i="6" s="1"/>
  <c r="L33" i="6"/>
  <c r="O36" i="6" s="1"/>
  <c r="P31" i="6"/>
  <c r="G30" i="6"/>
  <c r="P29" i="6"/>
  <c r="G29" i="6"/>
  <c r="P28" i="6"/>
  <c r="G28" i="6"/>
  <c r="G27" i="6"/>
  <c r="Q26" i="6"/>
  <c r="P26" i="6"/>
  <c r="G26" i="6"/>
  <c r="J25" i="6"/>
  <c r="J28" i="6" s="1"/>
  <c r="G25" i="6"/>
  <c r="G24" i="6"/>
  <c r="G23" i="6"/>
  <c r="P22" i="6"/>
  <c r="G22" i="6"/>
  <c r="G21" i="6"/>
  <c r="G20" i="6"/>
  <c r="L19" i="6"/>
  <c r="J19" i="6"/>
  <c r="J23" i="6" s="1"/>
  <c r="G19" i="6"/>
  <c r="G18" i="6"/>
  <c r="G17" i="6"/>
  <c r="G16" i="6"/>
  <c r="G15" i="6"/>
  <c r="G14" i="6"/>
  <c r="M11" i="6"/>
  <c r="I11" i="6"/>
  <c r="H11" i="6"/>
  <c r="E11" i="6"/>
  <c r="D11" i="6"/>
  <c r="O10" i="6"/>
  <c r="Q31" i="6" s="1"/>
  <c r="C10" i="6"/>
  <c r="O9" i="6"/>
  <c r="C9" i="6"/>
  <c r="O8" i="6"/>
  <c r="C8" i="6"/>
  <c r="O7" i="6"/>
  <c r="O4" i="6"/>
  <c r="O3" i="6"/>
  <c r="L34" i="3"/>
  <c r="L8" i="5"/>
  <c r="L9" i="5"/>
  <c r="L10" i="5"/>
  <c r="L7" i="5"/>
  <c r="E15" i="5"/>
  <c r="G15" i="5" s="1"/>
  <c r="H47" i="5"/>
  <c r="D47" i="5"/>
  <c r="E48" i="5" s="1"/>
  <c r="B46" i="5"/>
  <c r="G7" i="5" s="1"/>
  <c r="K45" i="5"/>
  <c r="J45" i="5"/>
  <c r="B45" i="5"/>
  <c r="G10" i="5" s="1"/>
  <c r="N10" i="5" s="1"/>
  <c r="B44" i="5"/>
  <c r="K43" i="5"/>
  <c r="I43" i="5" s="1"/>
  <c r="B43" i="5"/>
  <c r="G9" i="5" s="1"/>
  <c r="K42" i="5"/>
  <c r="L26" i="5" s="1"/>
  <c r="C7" i="5" s="1"/>
  <c r="B42" i="5"/>
  <c r="G39" i="5"/>
  <c r="E39" i="5"/>
  <c r="O38" i="5"/>
  <c r="L38" i="5"/>
  <c r="F38" i="5"/>
  <c r="H38" i="5" s="1"/>
  <c r="C38" i="5"/>
  <c r="P16" i="5" s="1"/>
  <c r="B38" i="5"/>
  <c r="P15" i="5" s="1"/>
  <c r="O37" i="5"/>
  <c r="F37" i="5"/>
  <c r="H37" i="5" s="1"/>
  <c r="H36" i="5"/>
  <c r="F35" i="5"/>
  <c r="H35" i="5" s="1"/>
  <c r="F34" i="5"/>
  <c r="H34" i="5" s="1"/>
  <c r="L33" i="5"/>
  <c r="O36" i="5" s="1"/>
  <c r="P31" i="5"/>
  <c r="G30" i="5"/>
  <c r="P29" i="5"/>
  <c r="G29" i="5"/>
  <c r="P28" i="5"/>
  <c r="G28" i="5"/>
  <c r="G27" i="5"/>
  <c r="Q26" i="5"/>
  <c r="P26" i="5"/>
  <c r="G26" i="5"/>
  <c r="J25" i="5"/>
  <c r="J28" i="5" s="1"/>
  <c r="G25" i="5"/>
  <c r="G24" i="5"/>
  <c r="J23" i="5"/>
  <c r="G23" i="5"/>
  <c r="P22" i="5"/>
  <c r="G22" i="5"/>
  <c r="G21" i="5"/>
  <c r="G20" i="5"/>
  <c r="L19" i="5"/>
  <c r="J19" i="5"/>
  <c r="G19" i="5"/>
  <c r="G18" i="5"/>
  <c r="G17" i="5"/>
  <c r="G16" i="5"/>
  <c r="G14" i="5"/>
  <c r="M11" i="5"/>
  <c r="I11" i="5"/>
  <c r="H11" i="5"/>
  <c r="E11" i="5"/>
  <c r="D11" i="5"/>
  <c r="O10" i="5"/>
  <c r="C10" i="5"/>
  <c r="O9" i="5"/>
  <c r="C9" i="5"/>
  <c r="O8" i="5"/>
  <c r="Q28" i="5" s="1"/>
  <c r="G8" i="5"/>
  <c r="N8" i="5" s="1"/>
  <c r="C8" i="5"/>
  <c r="O7" i="5"/>
  <c r="O4" i="5"/>
  <c r="O3" i="5"/>
  <c r="L8" i="4"/>
  <c r="L9" i="4"/>
  <c r="L10" i="4"/>
  <c r="L7" i="4"/>
  <c r="L11" i="5" l="1"/>
  <c r="C11" i="5"/>
  <c r="P10" i="5"/>
  <c r="P8" i="5"/>
  <c r="Q29" i="5"/>
  <c r="I45" i="5"/>
  <c r="Q31" i="5"/>
  <c r="O39" i="5"/>
  <c r="L47" i="5"/>
  <c r="S27" i="5"/>
  <c r="Q29" i="6"/>
  <c r="O39" i="6"/>
  <c r="C11" i="6"/>
  <c r="G31" i="6"/>
  <c r="P21" i="6" s="1"/>
  <c r="L47" i="6"/>
  <c r="L20" i="6"/>
  <c r="P20" i="6" s="1"/>
  <c r="L11" i="7"/>
  <c r="Q31" i="7"/>
  <c r="Q28" i="7"/>
  <c r="G31" i="7"/>
  <c r="P21" i="7" s="1"/>
  <c r="H39" i="7"/>
  <c r="L47" i="7"/>
  <c r="O39" i="7"/>
  <c r="I45" i="7"/>
  <c r="S27" i="7"/>
  <c r="I45" i="8"/>
  <c r="C11" i="8"/>
  <c r="Q31" i="8"/>
  <c r="O39" i="8"/>
  <c r="L47" i="8"/>
  <c r="C11" i="9"/>
  <c r="Q31" i="9"/>
  <c r="L20" i="9"/>
  <c r="P20" i="9" s="1"/>
  <c r="L47" i="9"/>
  <c r="O39" i="9"/>
  <c r="I45" i="9"/>
  <c r="I45" i="10"/>
  <c r="L11" i="10"/>
  <c r="G31" i="10"/>
  <c r="P21" i="10" s="1"/>
  <c r="L11" i="11"/>
  <c r="L47" i="10"/>
  <c r="S30" i="10"/>
  <c r="Q31" i="10"/>
  <c r="O39" i="10"/>
  <c r="L20" i="10"/>
  <c r="P20" i="10" s="1"/>
  <c r="H46" i="10" s="1"/>
  <c r="S27" i="10"/>
  <c r="P10" i="10"/>
  <c r="P8" i="11"/>
  <c r="P10" i="11"/>
  <c r="S30" i="11"/>
  <c r="H39" i="11"/>
  <c r="L20" i="11"/>
  <c r="P20" i="11" s="1"/>
  <c r="O39" i="11"/>
  <c r="I45" i="11"/>
  <c r="P9" i="11"/>
  <c r="L20" i="12"/>
  <c r="P20" i="12" s="1"/>
  <c r="Q31" i="12"/>
  <c r="L47" i="12"/>
  <c r="I45" i="12"/>
  <c r="I45" i="13"/>
  <c r="L11" i="13"/>
  <c r="B39" i="13"/>
  <c r="C11" i="13"/>
  <c r="L47" i="13"/>
  <c r="L20" i="13"/>
  <c r="P20" i="13" s="1"/>
  <c r="H46" i="13" s="1"/>
  <c r="H39" i="13"/>
  <c r="O39" i="13"/>
  <c r="L11" i="14"/>
  <c r="H39" i="14"/>
  <c r="C11" i="14"/>
  <c r="Q28" i="14"/>
  <c r="O39" i="14"/>
  <c r="S27" i="14"/>
  <c r="L47" i="14"/>
  <c r="L47" i="16"/>
  <c r="P8" i="16"/>
  <c r="L20" i="16"/>
  <c r="L23" i="16" s="1"/>
  <c r="Q28" i="16"/>
  <c r="P9" i="16"/>
  <c r="O39" i="16"/>
  <c r="I45" i="16"/>
  <c r="C11" i="16"/>
  <c r="Q31" i="16"/>
  <c r="B39" i="16"/>
  <c r="L11" i="17"/>
  <c r="Q29" i="17"/>
  <c r="Q28" i="17"/>
  <c r="O39" i="17"/>
  <c r="P10" i="17"/>
  <c r="Q31" i="17"/>
  <c r="G31" i="17"/>
  <c r="P21" i="17" s="1"/>
  <c r="L47" i="17"/>
  <c r="L20" i="17"/>
  <c r="P20" i="17" s="1"/>
  <c r="Q29" i="18"/>
  <c r="I45" i="18"/>
  <c r="L11" i="18"/>
  <c r="O39" i="18"/>
  <c r="P10" i="18"/>
  <c r="L20" i="18"/>
  <c r="P20" i="18" s="1"/>
  <c r="G31" i="18"/>
  <c r="P21" i="18" s="1"/>
  <c r="L11" i="19"/>
  <c r="C11" i="19"/>
  <c r="Q31" i="19"/>
  <c r="O39" i="19"/>
  <c r="L47" i="19"/>
  <c r="B39" i="19"/>
  <c r="G31" i="19"/>
  <c r="P21" i="19" s="1"/>
  <c r="P10" i="19"/>
  <c r="P10" i="20"/>
  <c r="P9" i="20"/>
  <c r="B39" i="20"/>
  <c r="L47" i="20"/>
  <c r="G31" i="20"/>
  <c r="P21" i="20" s="1"/>
  <c r="H39" i="20"/>
  <c r="I45" i="20"/>
  <c r="C11" i="20"/>
  <c r="O39" i="20"/>
  <c r="Q29" i="21"/>
  <c r="L47" i="21"/>
  <c r="L11" i="21"/>
  <c r="P10" i="21"/>
  <c r="P7" i="21"/>
  <c r="I45" i="21"/>
  <c r="O39" i="21"/>
  <c r="S30" i="21"/>
  <c r="G31" i="21"/>
  <c r="P21" i="21" s="1"/>
  <c r="L20" i="21"/>
  <c r="P20" i="21" s="1"/>
  <c r="H39" i="21"/>
  <c r="L11" i="22"/>
  <c r="Q31" i="22"/>
  <c r="O39" i="22"/>
  <c r="L47" i="22"/>
  <c r="P10" i="22"/>
  <c r="G31" i="22"/>
  <c r="P21" i="22" s="1"/>
  <c r="L20" i="22"/>
  <c r="P20" i="22" s="1"/>
  <c r="I45" i="23"/>
  <c r="C11" i="23"/>
  <c r="P10" i="23"/>
  <c r="P9" i="23"/>
  <c r="L47" i="23"/>
  <c r="Q28" i="23"/>
  <c r="H39" i="23"/>
  <c r="G31" i="23"/>
  <c r="P21" i="23" s="1"/>
  <c r="S27" i="23"/>
  <c r="S30" i="23"/>
  <c r="L20" i="23"/>
  <c r="P20" i="23" s="1"/>
  <c r="B47" i="23"/>
  <c r="P7" i="23"/>
  <c r="L11" i="24"/>
  <c r="G31" i="24"/>
  <c r="P21" i="24" s="1"/>
  <c r="Q31" i="24"/>
  <c r="C11" i="24"/>
  <c r="H39" i="24"/>
  <c r="L11" i="25"/>
  <c r="P9" i="24"/>
  <c r="O39" i="24"/>
  <c r="L47" i="24"/>
  <c r="Q28" i="25"/>
  <c r="G31" i="25"/>
  <c r="P21" i="25" s="1"/>
  <c r="H39" i="25"/>
  <c r="I43" i="25"/>
  <c r="I45" i="25"/>
  <c r="L11" i="26"/>
  <c r="I45" i="26"/>
  <c r="G10" i="26"/>
  <c r="N10" i="26" s="1"/>
  <c r="P10" i="26" s="1"/>
  <c r="Q29" i="26"/>
  <c r="H39" i="26"/>
  <c r="L47" i="26"/>
  <c r="L20" i="26"/>
  <c r="P20" i="26" s="1"/>
  <c r="Q31" i="27"/>
  <c r="Q28" i="27"/>
  <c r="L47" i="27"/>
  <c r="G10" i="27"/>
  <c r="J10" i="27" s="1"/>
  <c r="L20" i="27"/>
  <c r="P20" i="27" s="1"/>
  <c r="Q29" i="27"/>
  <c r="O39" i="27"/>
  <c r="S27" i="27"/>
  <c r="Q31" i="28"/>
  <c r="G9" i="28"/>
  <c r="N9" i="28" s="1"/>
  <c r="P9" i="28" s="1"/>
  <c r="L20" i="28"/>
  <c r="P20" i="28" s="1"/>
  <c r="G31" i="28"/>
  <c r="P21" i="28" s="1"/>
  <c r="H46" i="28" s="1"/>
  <c r="I45" i="28"/>
  <c r="H11" i="28"/>
  <c r="B47" i="28"/>
  <c r="J8" i="30"/>
  <c r="J9" i="30"/>
  <c r="G11" i="30"/>
  <c r="O14" i="30" s="1"/>
  <c r="H46" i="32"/>
  <c r="G11" i="32"/>
  <c r="O14" i="32" s="1"/>
  <c r="J23" i="32"/>
  <c r="J8" i="31"/>
  <c r="G11" i="31"/>
  <c r="O14" i="31" s="1"/>
  <c r="J9" i="31"/>
  <c r="S30" i="31"/>
  <c r="S30" i="32"/>
  <c r="J10" i="32"/>
  <c r="N11" i="32"/>
  <c r="P11" i="32"/>
  <c r="P14" i="32" s="1"/>
  <c r="P23" i="32" s="1"/>
  <c r="L39" i="32" s="1"/>
  <c r="N11" i="31"/>
  <c r="P7" i="31"/>
  <c r="P11" i="31" s="1"/>
  <c r="P14" i="31" s="1"/>
  <c r="P23" i="31" s="1"/>
  <c r="L39" i="31" s="1"/>
  <c r="J11" i="31"/>
  <c r="L23" i="30"/>
  <c r="P7" i="30"/>
  <c r="P11" i="30" s="1"/>
  <c r="P14" i="30" s="1"/>
  <c r="P23" i="30" s="1"/>
  <c r="L39" i="30" s="1"/>
  <c r="N11" i="30"/>
  <c r="J11" i="30"/>
  <c r="J10" i="29"/>
  <c r="N10" i="29"/>
  <c r="P10" i="29" s="1"/>
  <c r="P7" i="29"/>
  <c r="N11" i="29"/>
  <c r="G11" i="29"/>
  <c r="O14" i="29" s="1"/>
  <c r="P20" i="29"/>
  <c r="H46" i="29" s="1"/>
  <c r="L23" i="29"/>
  <c r="L47" i="28"/>
  <c r="B39" i="28"/>
  <c r="O39" i="28"/>
  <c r="N7" i="28"/>
  <c r="P7" i="28"/>
  <c r="G8" i="28"/>
  <c r="N8" i="28" s="1"/>
  <c r="P8" i="28" s="1"/>
  <c r="L23" i="28"/>
  <c r="H39" i="28"/>
  <c r="C11" i="28"/>
  <c r="G10" i="28"/>
  <c r="Q28" i="28"/>
  <c r="J8" i="28"/>
  <c r="I43" i="28"/>
  <c r="C11" i="27"/>
  <c r="G9" i="27"/>
  <c r="N9" i="27" s="1"/>
  <c r="P9" i="27" s="1"/>
  <c r="G31" i="27"/>
  <c r="P21" i="27" s="1"/>
  <c r="H46" i="27" s="1"/>
  <c r="B39" i="27"/>
  <c r="B47" i="27"/>
  <c r="P7" i="27"/>
  <c r="S30" i="27"/>
  <c r="H39" i="27"/>
  <c r="N10" i="27"/>
  <c r="P10" i="27" s="1"/>
  <c r="I45" i="27"/>
  <c r="H8" i="27"/>
  <c r="J7" i="27"/>
  <c r="G9" i="26"/>
  <c r="N9" i="26" s="1"/>
  <c r="P9" i="26" s="1"/>
  <c r="S30" i="26"/>
  <c r="H11" i="26"/>
  <c r="G8" i="26"/>
  <c r="N8" i="26" s="1"/>
  <c r="P8" i="26" s="1"/>
  <c r="E11" i="26"/>
  <c r="S27" i="26"/>
  <c r="O39" i="26"/>
  <c r="C11" i="26"/>
  <c r="G31" i="26"/>
  <c r="P21" i="26" s="1"/>
  <c r="H46" i="26"/>
  <c r="J10" i="26"/>
  <c r="B47" i="26"/>
  <c r="L23" i="26"/>
  <c r="B39" i="26"/>
  <c r="J7" i="26"/>
  <c r="Q31" i="26"/>
  <c r="N7" i="26"/>
  <c r="L38" i="25"/>
  <c r="O38" i="25"/>
  <c r="O39" i="25" s="1"/>
  <c r="C11" i="25"/>
  <c r="B39" i="25"/>
  <c r="J8" i="25"/>
  <c r="N8" i="25"/>
  <c r="P8" i="25" s="1"/>
  <c r="J9" i="25"/>
  <c r="N9" i="25"/>
  <c r="P9" i="25" s="1"/>
  <c r="N10" i="25"/>
  <c r="P10" i="25" s="1"/>
  <c r="J10" i="25"/>
  <c r="S30" i="25"/>
  <c r="G11" i="25"/>
  <c r="O14" i="25" s="1"/>
  <c r="N7" i="25"/>
  <c r="J7" i="25"/>
  <c r="L20" i="25"/>
  <c r="P20" i="25" s="1"/>
  <c r="H46" i="25" s="1"/>
  <c r="B47" i="25"/>
  <c r="B39" i="24"/>
  <c r="J9" i="24"/>
  <c r="N8" i="24"/>
  <c r="P8" i="24" s="1"/>
  <c r="J8" i="24"/>
  <c r="N10" i="24"/>
  <c r="P10" i="24" s="1"/>
  <c r="J10" i="24"/>
  <c r="P7" i="24"/>
  <c r="S30" i="24"/>
  <c r="J7" i="24"/>
  <c r="I45" i="24"/>
  <c r="G11" i="24"/>
  <c r="O14" i="24" s="1"/>
  <c r="B47" i="24"/>
  <c r="L20" i="24"/>
  <c r="P20" i="24" s="1"/>
  <c r="H46" i="24" s="1"/>
  <c r="J7" i="23"/>
  <c r="J9" i="23"/>
  <c r="G11" i="23"/>
  <c r="O14" i="23" s="1"/>
  <c r="L23" i="23"/>
  <c r="B39" i="23"/>
  <c r="N8" i="23"/>
  <c r="P8" i="23" s="1"/>
  <c r="P11" i="23" s="1"/>
  <c r="P14" i="23" s="1"/>
  <c r="P23" i="23" s="1"/>
  <c r="L39" i="23" s="1"/>
  <c r="H46" i="23"/>
  <c r="J10" i="23"/>
  <c r="I43" i="23"/>
  <c r="C11" i="22"/>
  <c r="B39" i="22"/>
  <c r="J9" i="22"/>
  <c r="N9" i="22"/>
  <c r="P9" i="22" s="1"/>
  <c r="B47" i="22"/>
  <c r="P7" i="22"/>
  <c r="H39" i="22"/>
  <c r="J8" i="22"/>
  <c r="G11" i="22"/>
  <c r="O14" i="22" s="1"/>
  <c r="N8" i="22"/>
  <c r="P8" i="22" s="1"/>
  <c r="J7" i="22"/>
  <c r="J10" i="22"/>
  <c r="S30" i="22"/>
  <c r="I43" i="22"/>
  <c r="C11" i="21"/>
  <c r="B39" i="21"/>
  <c r="J7" i="21"/>
  <c r="B47" i="21"/>
  <c r="J9" i="21"/>
  <c r="N9" i="21"/>
  <c r="P9" i="21" s="1"/>
  <c r="L23" i="21"/>
  <c r="G11" i="21"/>
  <c r="O14" i="21" s="1"/>
  <c r="N8" i="21"/>
  <c r="P8" i="21" s="1"/>
  <c r="Q31" i="21"/>
  <c r="J10" i="21"/>
  <c r="Q29" i="20"/>
  <c r="Q28" i="20"/>
  <c r="L20" i="20"/>
  <c r="P20" i="20" s="1"/>
  <c r="H46" i="20" s="1"/>
  <c r="P15" i="20"/>
  <c r="B47" i="20"/>
  <c r="G11" i="20"/>
  <c r="O14" i="20" s="1"/>
  <c r="J9" i="20"/>
  <c r="N8" i="20"/>
  <c r="P8" i="20" s="1"/>
  <c r="N7" i="20"/>
  <c r="J10" i="20"/>
  <c r="B47" i="19"/>
  <c r="P15" i="19"/>
  <c r="J9" i="19"/>
  <c r="N9" i="19"/>
  <c r="P9" i="19" s="1"/>
  <c r="G8" i="19"/>
  <c r="G11" i="19" s="1"/>
  <c r="O14" i="19" s="1"/>
  <c r="H39" i="19"/>
  <c r="S30" i="19"/>
  <c r="J7" i="19"/>
  <c r="I45" i="19"/>
  <c r="N7" i="19"/>
  <c r="L20" i="19"/>
  <c r="P20" i="19" s="1"/>
  <c r="J10" i="19"/>
  <c r="B39" i="18"/>
  <c r="J8" i="18"/>
  <c r="G11" i="18"/>
  <c r="O14" i="18" s="1"/>
  <c r="N8" i="18"/>
  <c r="P8" i="18" s="1"/>
  <c r="C11" i="18"/>
  <c r="P7" i="18"/>
  <c r="H39" i="18"/>
  <c r="N9" i="18"/>
  <c r="P9" i="18" s="1"/>
  <c r="J7" i="18"/>
  <c r="J10" i="18"/>
  <c r="B47" i="18"/>
  <c r="S30" i="18"/>
  <c r="I43" i="18"/>
  <c r="B39" i="17"/>
  <c r="C11" i="17"/>
  <c r="J9" i="17"/>
  <c r="N9" i="17"/>
  <c r="P9" i="17" s="1"/>
  <c r="J8" i="17"/>
  <c r="N8" i="17"/>
  <c r="P8" i="17" s="1"/>
  <c r="H39" i="17"/>
  <c r="N7" i="17"/>
  <c r="G11" i="17"/>
  <c r="O14" i="17" s="1"/>
  <c r="J7" i="17"/>
  <c r="S30" i="17"/>
  <c r="I45" i="17"/>
  <c r="J10" i="17"/>
  <c r="B47" i="17"/>
  <c r="S27" i="16"/>
  <c r="B47" i="16"/>
  <c r="J10" i="16"/>
  <c r="N10" i="16"/>
  <c r="P10" i="16" s="1"/>
  <c r="H39" i="16"/>
  <c r="G11" i="16"/>
  <c r="O14" i="16" s="1"/>
  <c r="J7" i="16"/>
  <c r="N7" i="16"/>
  <c r="P20" i="16"/>
  <c r="J9" i="16"/>
  <c r="J8" i="16"/>
  <c r="G24" i="16"/>
  <c r="G31" i="16" s="1"/>
  <c r="P21" i="16" s="1"/>
  <c r="P15" i="16"/>
  <c r="G31" i="14"/>
  <c r="P21" i="14" s="1"/>
  <c r="B39" i="14"/>
  <c r="J9" i="14"/>
  <c r="N9" i="14"/>
  <c r="N10" i="14"/>
  <c r="P10" i="14" s="1"/>
  <c r="J10" i="14"/>
  <c r="N8" i="14"/>
  <c r="P8" i="14" s="1"/>
  <c r="B47" i="14"/>
  <c r="P7" i="14"/>
  <c r="J7" i="14"/>
  <c r="P9" i="14"/>
  <c r="L20" i="14"/>
  <c r="P20" i="14" s="1"/>
  <c r="S30" i="14"/>
  <c r="G11" i="14"/>
  <c r="O14" i="14" s="1"/>
  <c r="I43" i="14"/>
  <c r="G31" i="13"/>
  <c r="P21" i="13" s="1"/>
  <c r="P15" i="13"/>
  <c r="N10" i="13"/>
  <c r="P10" i="13" s="1"/>
  <c r="J10" i="13"/>
  <c r="G11" i="13"/>
  <c r="O14" i="13" s="1"/>
  <c r="N7" i="13"/>
  <c r="J7" i="13"/>
  <c r="N8" i="13"/>
  <c r="P8" i="13" s="1"/>
  <c r="J8" i="13"/>
  <c r="N9" i="13"/>
  <c r="P9" i="13" s="1"/>
  <c r="J9" i="13"/>
  <c r="Q28" i="13"/>
  <c r="S30" i="13"/>
  <c r="B47" i="13"/>
  <c r="J9" i="12"/>
  <c r="N9" i="12"/>
  <c r="P9" i="12" s="1"/>
  <c r="G11" i="12"/>
  <c r="O14" i="12" s="1"/>
  <c r="B47" i="12"/>
  <c r="N8" i="12"/>
  <c r="P8" i="12" s="1"/>
  <c r="B39" i="12"/>
  <c r="G31" i="12"/>
  <c r="P21" i="12" s="1"/>
  <c r="C11" i="12"/>
  <c r="S30" i="12"/>
  <c r="N10" i="12"/>
  <c r="P10" i="12" s="1"/>
  <c r="J10" i="12"/>
  <c r="L23" i="12"/>
  <c r="H39" i="12"/>
  <c r="N7" i="12"/>
  <c r="Q28" i="12"/>
  <c r="J7" i="12"/>
  <c r="Q28" i="11"/>
  <c r="C11" i="11"/>
  <c r="B47" i="11"/>
  <c r="G31" i="11"/>
  <c r="P21" i="11" s="1"/>
  <c r="H46" i="11" s="1"/>
  <c r="J10" i="11"/>
  <c r="L23" i="11"/>
  <c r="P7" i="11"/>
  <c r="B39" i="11"/>
  <c r="J9" i="11"/>
  <c r="G11" i="11"/>
  <c r="O14" i="11" s="1"/>
  <c r="J8" i="11"/>
  <c r="J7" i="11"/>
  <c r="Q31" i="11"/>
  <c r="I43" i="11"/>
  <c r="B47" i="10"/>
  <c r="B39" i="10"/>
  <c r="G8" i="10"/>
  <c r="J8" i="10" s="1"/>
  <c r="G11" i="10"/>
  <c r="O14" i="10" s="1"/>
  <c r="N7" i="10"/>
  <c r="J7" i="10"/>
  <c r="H39" i="10"/>
  <c r="J9" i="10"/>
  <c r="N9" i="10"/>
  <c r="P9" i="10" s="1"/>
  <c r="N8" i="10"/>
  <c r="P8" i="10" s="1"/>
  <c r="C11" i="10"/>
  <c r="J10" i="10"/>
  <c r="I43" i="10"/>
  <c r="L11" i="9"/>
  <c r="G31" i="9"/>
  <c r="P21" i="9" s="1"/>
  <c r="B39" i="9"/>
  <c r="N9" i="9"/>
  <c r="P9" i="9" s="1"/>
  <c r="J9" i="9"/>
  <c r="S30" i="9"/>
  <c r="N10" i="9"/>
  <c r="P10" i="9" s="1"/>
  <c r="J10" i="9"/>
  <c r="H39" i="9"/>
  <c r="J8" i="9"/>
  <c r="N8" i="9"/>
  <c r="P8" i="9" s="1"/>
  <c r="N7" i="9"/>
  <c r="G11" i="9"/>
  <c r="O14" i="9" s="1"/>
  <c r="B47" i="9"/>
  <c r="Q28" i="9"/>
  <c r="G31" i="8"/>
  <c r="P21" i="8" s="1"/>
  <c r="L11" i="8"/>
  <c r="S27" i="8"/>
  <c r="B39" i="8"/>
  <c r="P20" i="8"/>
  <c r="L23" i="8"/>
  <c r="H39" i="8"/>
  <c r="G11" i="8"/>
  <c r="O14" i="8" s="1"/>
  <c r="N7" i="8"/>
  <c r="J7" i="8"/>
  <c r="J8" i="8"/>
  <c r="N8" i="8"/>
  <c r="P8" i="8" s="1"/>
  <c r="J9" i="8"/>
  <c r="N9" i="8"/>
  <c r="P9" i="8" s="1"/>
  <c r="N10" i="8"/>
  <c r="P10" i="8" s="1"/>
  <c r="J10" i="8"/>
  <c r="Q28" i="8"/>
  <c r="B47" i="8"/>
  <c r="C11" i="7"/>
  <c r="B39" i="7"/>
  <c r="B47" i="7"/>
  <c r="G8" i="7"/>
  <c r="J8" i="7" s="1"/>
  <c r="J9" i="7"/>
  <c r="N9" i="7"/>
  <c r="P9" i="7" s="1"/>
  <c r="S30" i="7"/>
  <c r="G11" i="7"/>
  <c r="O14" i="7" s="1"/>
  <c r="N10" i="7"/>
  <c r="P10" i="7" s="1"/>
  <c r="J10" i="7"/>
  <c r="J7" i="7"/>
  <c r="N7" i="7"/>
  <c r="L20" i="7"/>
  <c r="P20" i="7" s="1"/>
  <c r="H46" i="7" s="1"/>
  <c r="B47" i="6"/>
  <c r="L11" i="6"/>
  <c r="N9" i="6"/>
  <c r="P9" i="6" s="1"/>
  <c r="J9" i="6"/>
  <c r="J10" i="6"/>
  <c r="N10" i="6"/>
  <c r="P10" i="6" s="1"/>
  <c r="G8" i="6"/>
  <c r="J8" i="6" s="1"/>
  <c r="H39" i="6"/>
  <c r="B39" i="6"/>
  <c r="J7" i="6"/>
  <c r="I45" i="6"/>
  <c r="Q28" i="6"/>
  <c r="N7" i="6"/>
  <c r="S30" i="6"/>
  <c r="G31" i="5"/>
  <c r="P21" i="5" s="1"/>
  <c r="B39" i="5"/>
  <c r="N9" i="5"/>
  <c r="P9" i="5" s="1"/>
  <c r="J9" i="5"/>
  <c r="B47" i="5"/>
  <c r="G11" i="5"/>
  <c r="O14" i="5" s="1"/>
  <c r="H39" i="5"/>
  <c r="J8" i="5"/>
  <c r="J7" i="5"/>
  <c r="N7" i="5"/>
  <c r="J10" i="5"/>
  <c r="L20" i="5"/>
  <c r="S30" i="5"/>
  <c r="H47" i="4"/>
  <c r="D47" i="4"/>
  <c r="E48" i="4" s="1"/>
  <c r="B46" i="4"/>
  <c r="K45" i="4"/>
  <c r="J45" i="4"/>
  <c r="B45" i="4"/>
  <c r="G10" i="4" s="1"/>
  <c r="J10" i="4" s="1"/>
  <c r="B44" i="4"/>
  <c r="K43" i="4"/>
  <c r="I43" i="4" s="1"/>
  <c r="B43" i="4"/>
  <c r="G9" i="4" s="1"/>
  <c r="K42" i="4"/>
  <c r="L26" i="4" s="1"/>
  <c r="C7" i="4" s="1"/>
  <c r="B42" i="4"/>
  <c r="G8" i="4" s="1"/>
  <c r="J8" i="4" s="1"/>
  <c r="G39" i="4"/>
  <c r="E39" i="4"/>
  <c r="O38" i="4"/>
  <c r="L38" i="4"/>
  <c r="H38" i="4"/>
  <c r="F38" i="4"/>
  <c r="C38" i="4"/>
  <c r="P16" i="4" s="1"/>
  <c r="B38" i="4"/>
  <c r="P15" i="4" s="1"/>
  <c r="O37" i="4"/>
  <c r="F37" i="4"/>
  <c r="H37" i="4" s="1"/>
  <c r="H36" i="4"/>
  <c r="F35" i="4"/>
  <c r="H35" i="4" s="1"/>
  <c r="F34" i="4"/>
  <c r="H34" i="4" s="1"/>
  <c r="L33" i="4"/>
  <c r="O36" i="4" s="1"/>
  <c r="P31" i="4"/>
  <c r="G30" i="4"/>
  <c r="P29" i="4"/>
  <c r="G29" i="4"/>
  <c r="P28" i="4"/>
  <c r="G28" i="4"/>
  <c r="G27" i="4"/>
  <c r="Q26" i="4"/>
  <c r="P26" i="4"/>
  <c r="G26" i="4"/>
  <c r="J25" i="4"/>
  <c r="J28" i="4" s="1"/>
  <c r="G25" i="4"/>
  <c r="G24" i="4"/>
  <c r="G23" i="4"/>
  <c r="P22" i="4"/>
  <c r="G22" i="4"/>
  <c r="G21" i="4"/>
  <c r="G20" i="4"/>
  <c r="L19" i="4"/>
  <c r="J19" i="4"/>
  <c r="J23" i="4" s="1"/>
  <c r="G19" i="4"/>
  <c r="G18" i="4"/>
  <c r="G17" i="4"/>
  <c r="G16" i="4"/>
  <c r="G15" i="4"/>
  <c r="G14" i="4"/>
  <c r="G31" i="4" s="1"/>
  <c r="P21" i="4" s="1"/>
  <c r="M11" i="4"/>
  <c r="I11" i="4"/>
  <c r="H11" i="4"/>
  <c r="E11" i="4"/>
  <c r="D11" i="4"/>
  <c r="O10" i="4"/>
  <c r="C10" i="4"/>
  <c r="O9" i="4"/>
  <c r="Q29" i="4" s="1"/>
  <c r="C9" i="4"/>
  <c r="O8" i="4"/>
  <c r="C8" i="4"/>
  <c r="S27" i="4"/>
  <c r="O7" i="4"/>
  <c r="L11" i="4"/>
  <c r="G7" i="4"/>
  <c r="N7" i="4" s="1"/>
  <c r="O4" i="4"/>
  <c r="O3" i="4"/>
  <c r="L8" i="3"/>
  <c r="L9" i="3"/>
  <c r="L10" i="3"/>
  <c r="L7" i="3"/>
  <c r="L11" i="3" s="1"/>
  <c r="H47" i="3"/>
  <c r="D47" i="3"/>
  <c r="E48" i="3" s="1"/>
  <c r="B46" i="3"/>
  <c r="G7" i="3" s="1"/>
  <c r="K45" i="3"/>
  <c r="J45" i="3"/>
  <c r="B45" i="3"/>
  <c r="G10" i="3" s="1"/>
  <c r="B44" i="3"/>
  <c r="K43" i="3"/>
  <c r="I43" i="3" s="1"/>
  <c r="B43" i="3"/>
  <c r="G9" i="3" s="1"/>
  <c r="K42" i="3"/>
  <c r="L26" i="3" s="1"/>
  <c r="C7" i="3" s="1"/>
  <c r="B42" i="3"/>
  <c r="G8" i="3" s="1"/>
  <c r="G39" i="3"/>
  <c r="E39" i="3"/>
  <c r="O38" i="3"/>
  <c r="L38" i="3"/>
  <c r="F38" i="3"/>
  <c r="H38" i="3" s="1"/>
  <c r="C38" i="3"/>
  <c r="P16" i="3" s="1"/>
  <c r="B38" i="3"/>
  <c r="O37" i="3"/>
  <c r="F37" i="3"/>
  <c r="H37" i="3" s="1"/>
  <c r="J36" i="3"/>
  <c r="J39" i="3" s="1"/>
  <c r="H36" i="3"/>
  <c r="F35" i="3"/>
  <c r="H35" i="3" s="1"/>
  <c r="J34" i="3"/>
  <c r="J30" i="4" s="1"/>
  <c r="J34" i="4" s="1"/>
  <c r="F34" i="3"/>
  <c r="H34" i="3" s="1"/>
  <c r="L33" i="3"/>
  <c r="O36" i="3" s="1"/>
  <c r="P31" i="3"/>
  <c r="G30" i="3"/>
  <c r="P29" i="3"/>
  <c r="G29" i="3"/>
  <c r="P28" i="3"/>
  <c r="G28" i="3"/>
  <c r="G27" i="3"/>
  <c r="Q26" i="3"/>
  <c r="P26" i="3"/>
  <c r="G26" i="3"/>
  <c r="J25" i="3"/>
  <c r="J28" i="3" s="1"/>
  <c r="G25" i="3"/>
  <c r="G24" i="3"/>
  <c r="G23" i="3"/>
  <c r="P22" i="3"/>
  <c r="G22" i="3"/>
  <c r="G21" i="3"/>
  <c r="G20" i="3"/>
  <c r="L19" i="3"/>
  <c r="J19" i="3"/>
  <c r="J23" i="3" s="1"/>
  <c r="G19" i="3"/>
  <c r="G18" i="3"/>
  <c r="G17" i="3"/>
  <c r="G16" i="3"/>
  <c r="G15" i="3"/>
  <c r="G14" i="3"/>
  <c r="M11" i="3"/>
  <c r="I11" i="3"/>
  <c r="H11" i="3"/>
  <c r="E11" i="3"/>
  <c r="D11" i="3"/>
  <c r="O10" i="3"/>
  <c r="C10" i="3"/>
  <c r="O9" i="3"/>
  <c r="C9" i="3"/>
  <c r="O8" i="3"/>
  <c r="C8" i="3"/>
  <c r="S27" i="3"/>
  <c r="O7" i="3"/>
  <c r="O4" i="3"/>
  <c r="O3" i="3"/>
  <c r="L8" i="2"/>
  <c r="L9" i="2"/>
  <c r="L10" i="2"/>
  <c r="L7" i="2"/>
  <c r="H47" i="2"/>
  <c r="D47" i="2"/>
  <c r="E48" i="2" s="1"/>
  <c r="B46" i="2"/>
  <c r="K45" i="2"/>
  <c r="J45" i="2"/>
  <c r="I45" i="2" s="1"/>
  <c r="B45" i="2"/>
  <c r="G10" i="2" s="1"/>
  <c r="B44" i="2"/>
  <c r="K43" i="2"/>
  <c r="I43" i="2"/>
  <c r="B43" i="2"/>
  <c r="G9" i="2" s="1"/>
  <c r="N9" i="2" s="1"/>
  <c r="K42" i="2"/>
  <c r="B42" i="2"/>
  <c r="G39" i="2"/>
  <c r="E39" i="2"/>
  <c r="O38" i="2"/>
  <c r="L38" i="2"/>
  <c r="F38" i="2"/>
  <c r="H38" i="2" s="1"/>
  <c r="C38" i="2"/>
  <c r="P16" i="2" s="1"/>
  <c r="B38" i="2"/>
  <c r="P15" i="2" s="1"/>
  <c r="O37" i="2"/>
  <c r="F37" i="2"/>
  <c r="H37" i="2" s="1"/>
  <c r="O36" i="2"/>
  <c r="J36" i="2"/>
  <c r="J39" i="2" s="1"/>
  <c r="H36" i="2"/>
  <c r="F35" i="2"/>
  <c r="H35" i="2" s="1"/>
  <c r="J34" i="2"/>
  <c r="F34" i="2"/>
  <c r="H34" i="2" s="1"/>
  <c r="L33" i="2"/>
  <c r="P31" i="2"/>
  <c r="G30" i="2"/>
  <c r="P29" i="2"/>
  <c r="G29" i="2"/>
  <c r="P28" i="2"/>
  <c r="Q28" i="2" s="1"/>
  <c r="G28" i="2"/>
  <c r="G27" i="2"/>
  <c r="Q26" i="2"/>
  <c r="P26" i="2"/>
  <c r="L26" i="2"/>
  <c r="C7" i="2" s="1"/>
  <c r="G26" i="2"/>
  <c r="J25" i="2"/>
  <c r="J28" i="2" s="1"/>
  <c r="G25" i="2"/>
  <c r="G23" i="2"/>
  <c r="P22" i="2"/>
  <c r="G22" i="2"/>
  <c r="G21" i="2"/>
  <c r="G20" i="2"/>
  <c r="L19" i="2"/>
  <c r="J19" i="2"/>
  <c r="J23" i="2" s="1"/>
  <c r="G19" i="2"/>
  <c r="G18" i="2"/>
  <c r="G17" i="2"/>
  <c r="G16" i="2"/>
  <c r="G15" i="2"/>
  <c r="G14" i="2"/>
  <c r="M11" i="2"/>
  <c r="I11" i="2"/>
  <c r="H11" i="2"/>
  <c r="E11" i="2"/>
  <c r="D11" i="2"/>
  <c r="O10" i="2"/>
  <c r="C10" i="2"/>
  <c r="O9" i="2"/>
  <c r="Q29" i="2" s="1"/>
  <c r="C9" i="2"/>
  <c r="O8" i="2"/>
  <c r="C8" i="2"/>
  <c r="O7" i="2"/>
  <c r="G7" i="2"/>
  <c r="J7" i="2" s="1"/>
  <c r="O4" i="2"/>
  <c r="O3" i="2"/>
  <c r="E24" i="1"/>
  <c r="H47" i="1"/>
  <c r="D47" i="1"/>
  <c r="E48" i="1" s="1"/>
  <c r="B46" i="1"/>
  <c r="G7" i="1" s="1"/>
  <c r="K45" i="1"/>
  <c r="J45" i="1"/>
  <c r="B45" i="1"/>
  <c r="G10" i="1" s="1"/>
  <c r="N10" i="1" s="1"/>
  <c r="B44" i="1"/>
  <c r="K43" i="1"/>
  <c r="I43" i="1" s="1"/>
  <c r="B43" i="1"/>
  <c r="G9" i="1" s="1"/>
  <c r="K42" i="1"/>
  <c r="L26" i="1" s="1"/>
  <c r="C7" i="1" s="1"/>
  <c r="F7" i="1" s="1"/>
  <c r="B42" i="1"/>
  <c r="G8" i="1" s="1"/>
  <c r="G39" i="1"/>
  <c r="E39" i="1"/>
  <c r="O38" i="1"/>
  <c r="L38" i="1"/>
  <c r="F38" i="1"/>
  <c r="H38" i="1" s="1"/>
  <c r="C38" i="1"/>
  <c r="P16" i="1" s="1"/>
  <c r="B38" i="1"/>
  <c r="P15" i="1" s="1"/>
  <c r="O37" i="1"/>
  <c r="F37" i="1"/>
  <c r="H37" i="1" s="1"/>
  <c r="J36" i="1"/>
  <c r="J39" i="1" s="1"/>
  <c r="H36" i="1"/>
  <c r="F35" i="1"/>
  <c r="H35" i="1" s="1"/>
  <c r="F34" i="1"/>
  <c r="H34" i="1" s="1"/>
  <c r="L33" i="1"/>
  <c r="O36" i="1" s="1"/>
  <c r="P31" i="1"/>
  <c r="J34" i="1"/>
  <c r="G30" i="1"/>
  <c r="P29" i="1"/>
  <c r="G29" i="1"/>
  <c r="P28" i="1"/>
  <c r="G28" i="1"/>
  <c r="G27" i="1"/>
  <c r="Q26" i="1"/>
  <c r="P26" i="1"/>
  <c r="G26" i="1"/>
  <c r="J25" i="1"/>
  <c r="J28" i="1" s="1"/>
  <c r="G25" i="1"/>
  <c r="G24" i="1"/>
  <c r="G23" i="1"/>
  <c r="P22" i="1"/>
  <c r="G22" i="1"/>
  <c r="G21" i="1"/>
  <c r="G20" i="1"/>
  <c r="L19" i="1"/>
  <c r="J19" i="1"/>
  <c r="J23" i="1" s="1"/>
  <c r="G19" i="1"/>
  <c r="G18" i="1"/>
  <c r="G17" i="1"/>
  <c r="G16" i="1"/>
  <c r="G15" i="1"/>
  <c r="G14" i="1"/>
  <c r="M11" i="1"/>
  <c r="I11" i="1"/>
  <c r="H11" i="1"/>
  <c r="E11" i="1"/>
  <c r="D11" i="1"/>
  <c r="O10" i="1"/>
  <c r="Q31" i="1" s="1"/>
  <c r="C10" i="1"/>
  <c r="F10" i="1" s="1"/>
  <c r="O9" i="1"/>
  <c r="Q29" i="1" s="1"/>
  <c r="C9" i="1"/>
  <c r="F9" i="1" s="1"/>
  <c r="O8" i="1"/>
  <c r="L11" i="1"/>
  <c r="C8" i="1"/>
  <c r="F8" i="1"/>
  <c r="O7" i="1"/>
  <c r="B11" i="1"/>
  <c r="O4" i="1"/>
  <c r="O3" i="1"/>
  <c r="Q28" i="1" l="1"/>
  <c r="P10" i="1"/>
  <c r="O39" i="1"/>
  <c r="I45" i="1"/>
  <c r="L47" i="1"/>
  <c r="L20" i="1"/>
  <c r="P20" i="1" s="1"/>
  <c r="H39" i="1"/>
  <c r="L11" i="2"/>
  <c r="L20" i="2"/>
  <c r="P20" i="2" s="1"/>
  <c r="Q31" i="2"/>
  <c r="O39" i="2"/>
  <c r="L47" i="2"/>
  <c r="C11" i="2"/>
  <c r="P9" i="2"/>
  <c r="Q28" i="3"/>
  <c r="L47" i="3"/>
  <c r="L20" i="3"/>
  <c r="P20" i="3" s="1"/>
  <c r="B39" i="3"/>
  <c r="Q29" i="3"/>
  <c r="J36" i="32"/>
  <c r="J39" i="32" s="1"/>
  <c r="J36" i="31"/>
  <c r="J39" i="31" s="1"/>
  <c r="J36" i="29"/>
  <c r="J39" i="29" s="1"/>
  <c r="J36" i="30"/>
  <c r="J39" i="30" s="1"/>
  <c r="J36" i="24"/>
  <c r="J39" i="24" s="1"/>
  <c r="J36" i="21"/>
  <c r="J39" i="21" s="1"/>
  <c r="J36" i="13"/>
  <c r="J39" i="13" s="1"/>
  <c r="J36" i="12"/>
  <c r="J39" i="12" s="1"/>
  <c r="J36" i="11"/>
  <c r="J39" i="11" s="1"/>
  <c r="J36" i="9"/>
  <c r="J39" i="9" s="1"/>
  <c r="J36" i="26"/>
  <c r="J39" i="26" s="1"/>
  <c r="J36" i="23"/>
  <c r="J39" i="23" s="1"/>
  <c r="J36" i="20"/>
  <c r="J39" i="20" s="1"/>
  <c r="J36" i="4"/>
  <c r="J39" i="4" s="1"/>
  <c r="J36" i="28"/>
  <c r="J39" i="28" s="1"/>
  <c r="J36" i="19"/>
  <c r="J39" i="19" s="1"/>
  <c r="J36" i="16"/>
  <c r="J39" i="16" s="1"/>
  <c r="J36" i="10"/>
  <c r="J39" i="10" s="1"/>
  <c r="J36" i="8"/>
  <c r="J39" i="8" s="1"/>
  <c r="J36" i="6"/>
  <c r="J39" i="6" s="1"/>
  <c r="J36" i="5"/>
  <c r="J39" i="5" s="1"/>
  <c r="J36" i="17"/>
  <c r="J39" i="17" s="1"/>
  <c r="J36" i="14"/>
  <c r="J39" i="14" s="1"/>
  <c r="J36" i="7"/>
  <c r="J39" i="7" s="1"/>
  <c r="J36" i="27"/>
  <c r="J39" i="27" s="1"/>
  <c r="J36" i="22"/>
  <c r="J39" i="22" s="1"/>
  <c r="J36" i="18"/>
  <c r="J39" i="18" s="1"/>
  <c r="J36" i="25"/>
  <c r="J39" i="25" s="1"/>
  <c r="G31" i="3"/>
  <c r="P21" i="3" s="1"/>
  <c r="J30" i="6"/>
  <c r="J34" i="6" s="1"/>
  <c r="J30" i="7" s="1"/>
  <c r="J34" i="7" s="1"/>
  <c r="J30" i="8" s="1"/>
  <c r="J34" i="8" s="1"/>
  <c r="J30" i="5"/>
  <c r="J34" i="5" s="1"/>
  <c r="O39" i="3"/>
  <c r="P7" i="4"/>
  <c r="Q31" i="4"/>
  <c r="S30" i="4"/>
  <c r="L47" i="4"/>
  <c r="L20" i="4"/>
  <c r="P20" i="4" s="1"/>
  <c r="H46" i="4" s="1"/>
  <c r="O39" i="4"/>
  <c r="C11" i="4"/>
  <c r="G11" i="6"/>
  <c r="O14" i="6" s="1"/>
  <c r="H46" i="6"/>
  <c r="L23" i="6"/>
  <c r="H46" i="8"/>
  <c r="S30" i="8"/>
  <c r="L23" i="9"/>
  <c r="H46" i="9"/>
  <c r="L23" i="10"/>
  <c r="H46" i="12"/>
  <c r="L23" i="13"/>
  <c r="S30" i="16"/>
  <c r="H46" i="16"/>
  <c r="J11" i="16"/>
  <c r="H46" i="17"/>
  <c r="L23" i="17"/>
  <c r="H46" i="18"/>
  <c r="L23" i="18"/>
  <c r="H46" i="19"/>
  <c r="S30" i="20"/>
  <c r="J11" i="20"/>
  <c r="J11" i="21"/>
  <c r="H46" i="21"/>
  <c r="P11" i="21"/>
  <c r="P14" i="21" s="1"/>
  <c r="P23" i="21" s="1"/>
  <c r="L39" i="21" s="1"/>
  <c r="L23" i="22"/>
  <c r="H46" i="22"/>
  <c r="J11" i="23"/>
  <c r="J9" i="26"/>
  <c r="J9" i="27"/>
  <c r="L23" i="27"/>
  <c r="G11" i="28"/>
  <c r="O14" i="28" s="1"/>
  <c r="J9" i="28"/>
  <c r="S30" i="28"/>
  <c r="J11" i="29"/>
  <c r="J11" i="32"/>
  <c r="P11" i="29"/>
  <c r="P14" i="29" s="1"/>
  <c r="P23" i="29" s="1"/>
  <c r="L39" i="29" s="1"/>
  <c r="N10" i="28"/>
  <c r="J10" i="28"/>
  <c r="H11" i="27"/>
  <c r="G8" i="27"/>
  <c r="G11" i="26"/>
  <c r="O14" i="26" s="1"/>
  <c r="J8" i="26"/>
  <c r="J11" i="26"/>
  <c r="P7" i="26"/>
  <c r="P11" i="26" s="1"/>
  <c r="P14" i="26" s="1"/>
  <c r="P23" i="26" s="1"/>
  <c r="L39" i="26" s="1"/>
  <c r="N11" i="26"/>
  <c r="P7" i="25"/>
  <c r="P11" i="25" s="1"/>
  <c r="P14" i="25" s="1"/>
  <c r="P23" i="25" s="1"/>
  <c r="L39" i="25" s="1"/>
  <c r="N11" i="25"/>
  <c r="J11" i="25"/>
  <c r="L23" i="25"/>
  <c r="N11" i="24"/>
  <c r="P11" i="24"/>
  <c r="P14" i="24" s="1"/>
  <c r="P23" i="24" s="1"/>
  <c r="L39" i="24" s="1"/>
  <c r="J11" i="24"/>
  <c r="L23" i="24"/>
  <c r="N11" i="23"/>
  <c r="N11" i="22"/>
  <c r="P11" i="22"/>
  <c r="P14" i="22" s="1"/>
  <c r="P23" i="22" s="1"/>
  <c r="L39" i="22" s="1"/>
  <c r="J11" i="22"/>
  <c r="N11" i="21"/>
  <c r="L23" i="20"/>
  <c r="P7" i="20"/>
  <c r="P11" i="20" s="1"/>
  <c r="P14" i="20" s="1"/>
  <c r="P23" i="20" s="1"/>
  <c r="L39" i="20" s="1"/>
  <c r="N11" i="20"/>
  <c r="J8" i="19"/>
  <c r="N8" i="19"/>
  <c r="P8" i="19" s="1"/>
  <c r="L23" i="19"/>
  <c r="P7" i="19"/>
  <c r="N11" i="19"/>
  <c r="N11" i="18"/>
  <c r="P11" i="18"/>
  <c r="P14" i="18" s="1"/>
  <c r="P23" i="18" s="1"/>
  <c r="L39" i="18" s="1"/>
  <c r="J11" i="18"/>
  <c r="J11" i="17"/>
  <c r="P7" i="17"/>
  <c r="P11" i="17" s="1"/>
  <c r="P14" i="17" s="1"/>
  <c r="P23" i="17" s="1"/>
  <c r="L39" i="17" s="1"/>
  <c r="N11" i="17"/>
  <c r="P7" i="16"/>
  <c r="P11" i="16" s="1"/>
  <c r="P14" i="16" s="1"/>
  <c r="P23" i="16" s="1"/>
  <c r="L39" i="16" s="1"/>
  <c r="N11" i="16"/>
  <c r="H46" i="14"/>
  <c r="N11" i="14"/>
  <c r="J11" i="14"/>
  <c r="L23" i="14"/>
  <c r="P11" i="14"/>
  <c r="P14" i="14" s="1"/>
  <c r="P23" i="14" s="1"/>
  <c r="L39" i="14" s="1"/>
  <c r="P7" i="13"/>
  <c r="P11" i="13" s="1"/>
  <c r="P14" i="13" s="1"/>
  <c r="P23" i="13" s="1"/>
  <c r="L39" i="13" s="1"/>
  <c r="N11" i="13"/>
  <c r="J11" i="13"/>
  <c r="J11" i="12"/>
  <c r="P7" i="12"/>
  <c r="P11" i="12" s="1"/>
  <c r="P14" i="12" s="1"/>
  <c r="P23" i="12" s="1"/>
  <c r="L39" i="12" s="1"/>
  <c r="N11" i="12"/>
  <c r="J11" i="11"/>
  <c r="P11" i="11"/>
  <c r="P14" i="11" s="1"/>
  <c r="P23" i="11" s="1"/>
  <c r="L39" i="11" s="1"/>
  <c r="N11" i="11"/>
  <c r="P7" i="10"/>
  <c r="P11" i="10" s="1"/>
  <c r="P14" i="10" s="1"/>
  <c r="P23" i="10" s="1"/>
  <c r="L39" i="10" s="1"/>
  <c r="N11" i="10"/>
  <c r="J11" i="10"/>
  <c r="J11" i="9"/>
  <c r="N11" i="9"/>
  <c r="P7" i="9"/>
  <c r="P11" i="9" s="1"/>
  <c r="P14" i="9" s="1"/>
  <c r="P23" i="9" s="1"/>
  <c r="L39" i="9" s="1"/>
  <c r="J11" i="8"/>
  <c r="P7" i="8"/>
  <c r="P11" i="8" s="1"/>
  <c r="P14" i="8" s="1"/>
  <c r="P23" i="8" s="1"/>
  <c r="L39" i="8" s="1"/>
  <c r="N11" i="8"/>
  <c r="N8" i="7"/>
  <c r="P8" i="7" s="1"/>
  <c r="P7" i="7"/>
  <c r="P11" i="7" s="1"/>
  <c r="P14" i="7" s="1"/>
  <c r="P23" i="7" s="1"/>
  <c r="L39" i="7" s="1"/>
  <c r="L23" i="7"/>
  <c r="J11" i="7"/>
  <c r="J11" i="6"/>
  <c r="N8" i="6"/>
  <c r="P8" i="6" s="1"/>
  <c r="P7" i="6"/>
  <c r="J11" i="5"/>
  <c r="P20" i="5"/>
  <c r="H46" i="5" s="1"/>
  <c r="L23" i="5"/>
  <c r="P7" i="5"/>
  <c r="P11" i="5" s="1"/>
  <c r="P14" i="5" s="1"/>
  <c r="P23" i="5" s="1"/>
  <c r="L39" i="5" s="1"/>
  <c r="N11" i="5"/>
  <c r="J7" i="4"/>
  <c r="N9" i="4"/>
  <c r="P9" i="4" s="1"/>
  <c r="J9" i="4"/>
  <c r="G11" i="4"/>
  <c r="O14" i="4" s="1"/>
  <c r="B47" i="4"/>
  <c r="H39" i="4"/>
  <c r="L23" i="4"/>
  <c r="B39" i="4"/>
  <c r="N10" i="4"/>
  <c r="P10" i="4" s="1"/>
  <c r="N8" i="4"/>
  <c r="P8" i="4" s="1"/>
  <c r="I45" i="4"/>
  <c r="Q28" i="4"/>
  <c r="P15" i="3"/>
  <c r="J9" i="3"/>
  <c r="N9" i="3"/>
  <c r="P9" i="3" s="1"/>
  <c r="S30" i="3"/>
  <c r="J8" i="3"/>
  <c r="N8" i="3"/>
  <c r="P8" i="3" s="1"/>
  <c r="H39" i="3"/>
  <c r="C11" i="3"/>
  <c r="G11" i="3"/>
  <c r="O14" i="3" s="1"/>
  <c r="N7" i="3"/>
  <c r="J7" i="3"/>
  <c r="H46" i="3"/>
  <c r="N10" i="3"/>
  <c r="P10" i="3" s="1"/>
  <c r="J10" i="3"/>
  <c r="I45" i="3"/>
  <c r="Q31" i="3"/>
  <c r="B47" i="3"/>
  <c r="S27" i="2"/>
  <c r="B39" i="2"/>
  <c r="B47" i="2"/>
  <c r="G8" i="2"/>
  <c r="J8" i="2" s="1"/>
  <c r="H39" i="2"/>
  <c r="N10" i="2"/>
  <c r="P10" i="2" s="1"/>
  <c r="J10" i="2"/>
  <c r="J9" i="2"/>
  <c r="N7" i="2"/>
  <c r="G24" i="2"/>
  <c r="G31" i="2" s="1"/>
  <c r="P21" i="2" s="1"/>
  <c r="B39" i="1"/>
  <c r="C11" i="1"/>
  <c r="G11" i="1"/>
  <c r="O14" i="1" s="1"/>
  <c r="N7" i="1"/>
  <c r="P7" i="1" s="1"/>
  <c r="G31" i="1"/>
  <c r="P21" i="1" s="1"/>
  <c r="S30" i="1"/>
  <c r="F11" i="1"/>
  <c r="S27" i="1"/>
  <c r="J9" i="1"/>
  <c r="K9" i="1" s="1"/>
  <c r="N9" i="1"/>
  <c r="P9" i="1" s="1"/>
  <c r="J8" i="1"/>
  <c r="K8" i="1" s="1"/>
  <c r="N8" i="1"/>
  <c r="P8" i="1" s="1"/>
  <c r="J7" i="1"/>
  <c r="K7" i="1" s="1"/>
  <c r="B7" i="2" s="1"/>
  <c r="B47" i="1"/>
  <c r="J10" i="1"/>
  <c r="K10" i="1" s="1"/>
  <c r="F7" i="2" l="1"/>
  <c r="K7" i="2" s="1"/>
  <c r="B7" i="3" s="1"/>
  <c r="Q10" i="1"/>
  <c r="S31" i="1" s="1"/>
  <c r="B10" i="2"/>
  <c r="F10" i="2" s="1"/>
  <c r="K10" i="2" s="1"/>
  <c r="Q8" i="1"/>
  <c r="S28" i="1" s="1"/>
  <c r="B8" i="2"/>
  <c r="F8" i="2" s="1"/>
  <c r="F11" i="2" s="1"/>
  <c r="L23" i="1"/>
  <c r="Q9" i="1"/>
  <c r="S29" i="1" s="1"/>
  <c r="B9" i="2"/>
  <c r="F9" i="2" s="1"/>
  <c r="K9" i="2" s="1"/>
  <c r="Q9" i="2" s="1"/>
  <c r="S29" i="2" s="1"/>
  <c r="H46" i="1"/>
  <c r="L23" i="2"/>
  <c r="F7" i="3"/>
  <c r="K7" i="3" s="1"/>
  <c r="B7" i="4" s="1"/>
  <c r="L23" i="3"/>
  <c r="J30" i="10"/>
  <c r="J34" i="10" s="1"/>
  <c r="J30" i="9"/>
  <c r="J34" i="9" s="1"/>
  <c r="J11" i="4"/>
  <c r="P11" i="4"/>
  <c r="P14" i="4" s="1"/>
  <c r="N11" i="6"/>
  <c r="P11" i="6"/>
  <c r="P14" i="6" s="1"/>
  <c r="P23" i="6" s="1"/>
  <c r="L39" i="6" s="1"/>
  <c r="N11" i="7"/>
  <c r="P11" i="19"/>
  <c r="P14" i="19" s="1"/>
  <c r="P23" i="19" s="1"/>
  <c r="L39" i="19" s="1"/>
  <c r="J11" i="19"/>
  <c r="P10" i="28"/>
  <c r="P11" i="28" s="1"/>
  <c r="P14" i="28" s="1"/>
  <c r="P23" i="28" s="1"/>
  <c r="L39" i="28" s="1"/>
  <c r="N11" i="28"/>
  <c r="J11" i="28"/>
  <c r="N8" i="27"/>
  <c r="J8" i="27"/>
  <c r="G11" i="27"/>
  <c r="O14" i="27" s="1"/>
  <c r="P23" i="4"/>
  <c r="L39" i="4" s="1"/>
  <c r="N11" i="4"/>
  <c r="J11" i="3"/>
  <c r="P7" i="3"/>
  <c r="P11" i="3" s="1"/>
  <c r="P14" i="3" s="1"/>
  <c r="P23" i="3" s="1"/>
  <c r="L39" i="3" s="1"/>
  <c r="N11" i="3"/>
  <c r="H46" i="2"/>
  <c r="J11" i="2"/>
  <c r="G11" i="2"/>
  <c r="O14" i="2" s="1"/>
  <c r="N8" i="2"/>
  <c r="P8" i="2" s="1"/>
  <c r="K8" i="2"/>
  <c r="S30" i="2"/>
  <c r="P7" i="2"/>
  <c r="P11" i="2" s="1"/>
  <c r="P14" i="2" s="1"/>
  <c r="P23" i="2" s="1"/>
  <c r="L39" i="2" s="1"/>
  <c r="N11" i="2"/>
  <c r="Q7" i="2"/>
  <c r="P11" i="1"/>
  <c r="P14" i="1" s="1"/>
  <c r="P23" i="1" s="1"/>
  <c r="L39" i="1" s="1"/>
  <c r="K11" i="1"/>
  <c r="Q7" i="1"/>
  <c r="N11" i="1"/>
  <c r="J11" i="1"/>
  <c r="Q10" i="2" l="1"/>
  <c r="S31" i="2" s="1"/>
  <c r="B10" i="3"/>
  <c r="F10" i="3" s="1"/>
  <c r="K10" i="3" s="1"/>
  <c r="Q10" i="3" s="1"/>
  <c r="S31" i="3" s="1"/>
  <c r="K11" i="2"/>
  <c r="B9" i="3"/>
  <c r="F9" i="3" s="1"/>
  <c r="K9" i="3" s="1"/>
  <c r="Q9" i="3" s="1"/>
  <c r="S29" i="3" s="1"/>
  <c r="B11" i="2"/>
  <c r="Q8" i="2"/>
  <c r="S28" i="2" s="1"/>
  <c r="B8" i="3"/>
  <c r="J30" i="12"/>
  <c r="J34" i="12" s="1"/>
  <c r="J30" i="11"/>
  <c r="J34" i="11" s="1"/>
  <c r="F7" i="4"/>
  <c r="J11" i="27"/>
  <c r="P8" i="27"/>
  <c r="P11" i="27" s="1"/>
  <c r="P14" i="27" s="1"/>
  <c r="P23" i="27" s="1"/>
  <c r="L39" i="27" s="1"/>
  <c r="N11" i="27"/>
  <c r="Q7" i="3"/>
  <c r="Q15" i="2"/>
  <c r="S26" i="2"/>
  <c r="S26" i="1"/>
  <c r="Q15" i="1"/>
  <c r="B10" i="4" l="1"/>
  <c r="F10" i="4" s="1"/>
  <c r="K10" i="4" s="1"/>
  <c r="Q10" i="4" s="1"/>
  <c r="S31" i="4" s="1"/>
  <c r="B9" i="4"/>
  <c r="F9" i="4" s="1"/>
  <c r="K9" i="4" s="1"/>
  <c r="B10" i="5"/>
  <c r="F10" i="5" s="1"/>
  <c r="K10" i="5" s="1"/>
  <c r="F8" i="3"/>
  <c r="B11" i="3"/>
  <c r="K7" i="4"/>
  <c r="J30" i="18"/>
  <c r="J34" i="18" s="1"/>
  <c r="J30" i="16"/>
  <c r="J34" i="16" s="1"/>
  <c r="J30" i="17"/>
  <c r="J34" i="17" s="1"/>
  <c r="J30" i="13"/>
  <c r="J34" i="13" s="1"/>
  <c r="J30" i="14"/>
  <c r="J34" i="14" s="1"/>
  <c r="Q15" i="3"/>
  <c r="S26" i="3"/>
  <c r="Q9" i="4" l="1"/>
  <c r="S29" i="4" s="1"/>
  <c r="B9" i="5"/>
  <c r="F9" i="5" s="1"/>
  <c r="K9" i="5" s="1"/>
  <c r="Q10" i="5"/>
  <c r="S31" i="5" s="1"/>
  <c r="B10" i="6"/>
  <c r="F10" i="6" s="1"/>
  <c r="K10" i="6" s="1"/>
  <c r="K8" i="3"/>
  <c r="F11" i="3"/>
  <c r="J30" i="22"/>
  <c r="J34" i="22" s="1"/>
  <c r="J30" i="23" s="1"/>
  <c r="J34" i="23" s="1"/>
  <c r="J30" i="19"/>
  <c r="J34" i="19" s="1"/>
  <c r="J30" i="20"/>
  <c r="J34" i="20" s="1"/>
  <c r="J30" i="21"/>
  <c r="J34" i="21" s="1"/>
  <c r="B7" i="5"/>
  <c r="Q7" i="4"/>
  <c r="B9" i="6" l="1"/>
  <c r="F9" i="6" s="1"/>
  <c r="K9" i="6" s="1"/>
  <c r="Q9" i="5"/>
  <c r="S29" i="5" s="1"/>
  <c r="Q10" i="6"/>
  <c r="S31" i="6" s="1"/>
  <c r="B10" i="7"/>
  <c r="F10" i="7" s="1"/>
  <c r="K10" i="7" s="1"/>
  <c r="Q8" i="3"/>
  <c r="S28" i="3" s="1"/>
  <c r="B8" i="4"/>
  <c r="K11" i="3"/>
  <c r="S26" i="4"/>
  <c r="Q15" i="4"/>
  <c r="F7" i="5"/>
  <c r="J30" i="25"/>
  <c r="J34" i="25" s="1"/>
  <c r="J30" i="24"/>
  <c r="J34" i="24" s="1"/>
  <c r="B9" i="7" l="1"/>
  <c r="F9" i="7" s="1"/>
  <c r="K9" i="7" s="1"/>
  <c r="Q9" i="6"/>
  <c r="S29" i="6" s="1"/>
  <c r="B10" i="8"/>
  <c r="F10" i="8" s="1"/>
  <c r="K10" i="8" s="1"/>
  <c r="Q10" i="7"/>
  <c r="S31" i="7" s="1"/>
  <c r="F8" i="4"/>
  <c r="B11" i="4"/>
  <c r="J30" i="27"/>
  <c r="J34" i="27" s="1"/>
  <c r="J30" i="28" s="1"/>
  <c r="J34" i="28" s="1"/>
  <c r="J30" i="26"/>
  <c r="J34" i="26" s="1"/>
  <c r="K7" i="5"/>
  <c r="Q9" i="7" l="1"/>
  <c r="S29" i="7" s="1"/>
  <c r="B9" i="8"/>
  <c r="F9" i="8" s="1"/>
  <c r="K9" i="8" s="1"/>
  <c r="Q10" i="8"/>
  <c r="S31" i="8" s="1"/>
  <c r="B10" i="9"/>
  <c r="F10" i="9" s="1"/>
  <c r="K10" i="9" s="1"/>
  <c r="K8" i="4"/>
  <c r="F11" i="4"/>
  <c r="B7" i="6"/>
  <c r="Q7" i="5"/>
  <c r="J30" i="32"/>
  <c r="J34" i="32" s="1"/>
  <c r="J30" i="29"/>
  <c r="J34" i="29" s="1"/>
  <c r="J30" i="30"/>
  <c r="J34" i="30" s="1"/>
  <c r="J30" i="31"/>
  <c r="J34" i="31" s="1"/>
  <c r="B9" i="9" l="1"/>
  <c r="F9" i="9" s="1"/>
  <c r="K9" i="9" s="1"/>
  <c r="Q9" i="8"/>
  <c r="S29" i="8" s="1"/>
  <c r="B10" i="10"/>
  <c r="F10" i="10" s="1"/>
  <c r="K10" i="10" s="1"/>
  <c r="Q10" i="9"/>
  <c r="S31" i="9" s="1"/>
  <c r="Q8" i="4"/>
  <c r="S28" i="4" s="1"/>
  <c r="B8" i="5"/>
  <c r="K11" i="4"/>
  <c r="F7" i="6"/>
  <c r="S26" i="5"/>
  <c r="Q15" i="5"/>
  <c r="B9" i="10" l="1"/>
  <c r="F9" i="10" s="1"/>
  <c r="K9" i="10" s="1"/>
  <c r="Q9" i="9"/>
  <c r="S29" i="9" s="1"/>
  <c r="F8" i="5"/>
  <c r="B11" i="5"/>
  <c r="K7" i="6"/>
  <c r="B10" i="11"/>
  <c r="Q10" i="10"/>
  <c r="S31" i="10" s="1"/>
  <c r="Q9" i="10" l="1"/>
  <c r="S29" i="10" s="1"/>
  <c r="B9" i="11"/>
  <c r="F9" i="11" s="1"/>
  <c r="K9" i="11" s="1"/>
  <c r="K8" i="5"/>
  <c r="F11" i="5"/>
  <c r="B7" i="7"/>
  <c r="Q7" i="6"/>
  <c r="F10" i="11"/>
  <c r="Q9" i="11" l="1"/>
  <c r="S29" i="11" s="1"/>
  <c r="B9" i="12"/>
  <c r="F9" i="12" s="1"/>
  <c r="K9" i="12" s="1"/>
  <c r="Q8" i="5"/>
  <c r="S28" i="5" s="1"/>
  <c r="B8" i="6"/>
  <c r="K11" i="5"/>
  <c r="Q15" i="6"/>
  <c r="S26" i="6"/>
  <c r="F7" i="7"/>
  <c r="K10" i="11"/>
  <c r="Q9" i="12" l="1"/>
  <c r="S29" i="12" s="1"/>
  <c r="B9" i="13"/>
  <c r="F9" i="13" s="1"/>
  <c r="K9" i="13" s="1"/>
  <c r="F8" i="6"/>
  <c r="B11" i="6"/>
  <c r="K7" i="7"/>
  <c r="Q10" i="11"/>
  <c r="S31" i="11" s="1"/>
  <c r="B10" i="12"/>
  <c r="Q9" i="13" l="1"/>
  <c r="S29" i="13" s="1"/>
  <c r="B9" i="14"/>
  <c r="F9" i="14" s="1"/>
  <c r="K9" i="14" s="1"/>
  <c r="K8" i="6"/>
  <c r="F11" i="6"/>
  <c r="B7" i="8"/>
  <c r="Q7" i="7"/>
  <c r="F10" i="12"/>
  <c r="Q9" i="14" l="1"/>
  <c r="S29" i="14" s="1"/>
  <c r="B9" i="16"/>
  <c r="F9" i="16" s="1"/>
  <c r="K9" i="16" s="1"/>
  <c r="Q8" i="6"/>
  <c r="S28" i="6" s="1"/>
  <c r="B8" i="7"/>
  <c r="K11" i="6"/>
  <c r="S26" i="7"/>
  <c r="Q15" i="7"/>
  <c r="F7" i="8"/>
  <c r="K10" i="12"/>
  <c r="Q9" i="16" l="1"/>
  <c r="S29" i="16" s="1"/>
  <c r="B9" i="17"/>
  <c r="F9" i="17" s="1"/>
  <c r="K9" i="17" s="1"/>
  <c r="F8" i="7"/>
  <c r="B11" i="7"/>
  <c r="K7" i="8"/>
  <c r="Q10" i="12"/>
  <c r="S31" i="12" s="1"/>
  <c r="B10" i="13"/>
  <c r="Q9" i="17" l="1"/>
  <c r="S29" i="17" s="1"/>
  <c r="B9" i="18"/>
  <c r="F9" i="18" s="1"/>
  <c r="K9" i="18" s="1"/>
  <c r="K8" i="7"/>
  <c r="F11" i="7"/>
  <c r="B7" i="9"/>
  <c r="Q7" i="8"/>
  <c r="F10" i="13"/>
  <c r="Q9" i="18" l="1"/>
  <c r="S29" i="18" s="1"/>
  <c r="B9" i="19"/>
  <c r="F9" i="19" s="1"/>
  <c r="K9" i="19" s="1"/>
  <c r="Q8" i="7"/>
  <c r="S28" i="7" s="1"/>
  <c r="B8" i="8"/>
  <c r="K11" i="7"/>
  <c r="S26" i="8"/>
  <c r="Q15" i="8"/>
  <c r="F7" i="9"/>
  <c r="K10" i="13"/>
  <c r="B9" i="20" l="1"/>
  <c r="F9" i="20" s="1"/>
  <c r="K9" i="20" s="1"/>
  <c r="Q9" i="19"/>
  <c r="S29" i="19" s="1"/>
  <c r="F8" i="8"/>
  <c r="B11" i="8"/>
  <c r="K7" i="9"/>
  <c r="B10" i="14"/>
  <c r="Q10" i="13"/>
  <c r="S31" i="13" s="1"/>
  <c r="B9" i="21" l="1"/>
  <c r="F9" i="21" s="1"/>
  <c r="K9" i="21" s="1"/>
  <c r="Q9" i="20"/>
  <c r="S29" i="20" s="1"/>
  <c r="K8" i="8"/>
  <c r="F11" i="8"/>
  <c r="Q7" i="9"/>
  <c r="B7" i="10"/>
  <c r="F10" i="14"/>
  <c r="Q9" i="21" l="1"/>
  <c r="S29" i="21" s="1"/>
  <c r="B9" i="22"/>
  <c r="F9" i="22" s="1"/>
  <c r="K9" i="22" s="1"/>
  <c r="B8" i="9"/>
  <c r="Q8" i="8"/>
  <c r="S28" i="8" s="1"/>
  <c r="K11" i="8"/>
  <c r="F7" i="10"/>
  <c r="Q15" i="9"/>
  <c r="S26" i="9"/>
  <c r="K10" i="14"/>
  <c r="Q9" i="22" l="1"/>
  <c r="S29" i="22" s="1"/>
  <c r="B9" i="23"/>
  <c r="F9" i="23" s="1"/>
  <c r="K9" i="23" s="1"/>
  <c r="F8" i="9"/>
  <c r="B11" i="9"/>
  <c r="K7" i="10"/>
  <c r="Q10" i="14"/>
  <c r="S31" i="14" s="1"/>
  <c r="B10" i="16"/>
  <c r="Q9" i="23" l="1"/>
  <c r="S29" i="23" s="1"/>
  <c r="B9" i="24"/>
  <c r="F9" i="24" s="1"/>
  <c r="K9" i="24" s="1"/>
  <c r="K8" i="9"/>
  <c r="F11" i="9"/>
  <c r="B7" i="11"/>
  <c r="Q7" i="10"/>
  <c r="F10" i="16"/>
  <c r="Q9" i="24" l="1"/>
  <c r="S29" i="24" s="1"/>
  <c r="B9" i="25"/>
  <c r="F9" i="25" s="1"/>
  <c r="K9" i="25" s="1"/>
  <c r="Q8" i="9"/>
  <c r="S28" i="9" s="1"/>
  <c r="B8" i="10"/>
  <c r="K11" i="9"/>
  <c r="S26" i="10"/>
  <c r="Q15" i="10"/>
  <c r="F7" i="11"/>
  <c r="K10" i="16"/>
  <c r="B9" i="26" l="1"/>
  <c r="F9" i="26" s="1"/>
  <c r="K9" i="26" s="1"/>
  <c r="Q9" i="25"/>
  <c r="S29" i="25" s="1"/>
  <c r="F8" i="10"/>
  <c r="B11" i="10"/>
  <c r="K7" i="11"/>
  <c r="Q10" i="16"/>
  <c r="S31" i="16" s="1"/>
  <c r="B10" i="17"/>
  <c r="Q9" i="26" l="1"/>
  <c r="S29" i="26" s="1"/>
  <c r="B9" i="27"/>
  <c r="F9" i="27" s="1"/>
  <c r="K9" i="27" s="1"/>
  <c r="K8" i="10"/>
  <c r="F11" i="10"/>
  <c r="B7" i="12"/>
  <c r="Q7" i="11"/>
  <c r="F10" i="17"/>
  <c r="Q9" i="27" l="1"/>
  <c r="S29" i="27" s="1"/>
  <c r="B9" i="28"/>
  <c r="F9" i="28" s="1"/>
  <c r="K9" i="28" s="1"/>
  <c r="Q8" i="10"/>
  <c r="S28" i="10" s="1"/>
  <c r="B8" i="11"/>
  <c r="K11" i="10"/>
  <c r="Q15" i="11"/>
  <c r="S26" i="11"/>
  <c r="F7" i="12"/>
  <c r="K10" i="17"/>
  <c r="Q9" i="28" l="1"/>
  <c r="S29" i="28" s="1"/>
  <c r="B9" i="29"/>
  <c r="F9" i="29" s="1"/>
  <c r="F8" i="11"/>
  <c r="B11" i="11"/>
  <c r="K7" i="12"/>
  <c r="B10" i="18"/>
  <c r="Q10" i="17"/>
  <c r="S31" i="17" s="1"/>
  <c r="K9" i="29"/>
  <c r="K8" i="11" l="1"/>
  <c r="F11" i="11"/>
  <c r="B7" i="13"/>
  <c r="Q7" i="12"/>
  <c r="F10" i="18"/>
  <c r="B9" i="30"/>
  <c r="Q9" i="29"/>
  <c r="S29" i="29" s="1"/>
  <c r="B8" i="12" l="1"/>
  <c r="Q8" i="11"/>
  <c r="S28" i="11" s="1"/>
  <c r="K11" i="11"/>
  <c r="S26" i="12"/>
  <c r="Q15" i="12"/>
  <c r="F7" i="13"/>
  <c r="K10" i="18"/>
  <c r="F9" i="30"/>
  <c r="F8" i="12" l="1"/>
  <c r="B11" i="12"/>
  <c r="K7" i="13"/>
  <c r="B10" i="19"/>
  <c r="Q10" i="18"/>
  <c r="S31" i="18" s="1"/>
  <c r="K9" i="30"/>
  <c r="K8" i="12" l="1"/>
  <c r="F11" i="12"/>
  <c r="B7" i="14"/>
  <c r="Q7" i="13"/>
  <c r="F10" i="19"/>
  <c r="Q9" i="30"/>
  <c r="S29" i="30" s="1"/>
  <c r="B9" i="31"/>
  <c r="Q8" i="12" l="1"/>
  <c r="S28" i="12" s="1"/>
  <c r="B8" i="13"/>
  <c r="K11" i="12"/>
  <c r="S26" i="13"/>
  <c r="Q15" i="13"/>
  <c r="F7" i="14"/>
  <c r="K10" i="19"/>
  <c r="F9" i="31"/>
  <c r="F8" i="13" l="1"/>
  <c r="B11" i="13"/>
  <c r="K7" i="14"/>
  <c r="Q10" i="19"/>
  <c r="S31" i="19" s="1"/>
  <c r="B10" i="20"/>
  <c r="K9" i="31"/>
  <c r="K8" i="13" l="1"/>
  <c r="F11" i="13"/>
  <c r="B7" i="16"/>
  <c r="Q7" i="14"/>
  <c r="F10" i="20"/>
  <c r="B9" i="32"/>
  <c r="Q9" i="31"/>
  <c r="S29" i="31" s="1"/>
  <c r="Q8" i="13" l="1"/>
  <c r="S28" i="13" s="1"/>
  <c r="B8" i="14"/>
  <c r="K11" i="13"/>
  <c r="S26" i="14"/>
  <c r="Q15" i="14"/>
  <c r="F7" i="16"/>
  <c r="K10" i="20"/>
  <c r="F9" i="32"/>
  <c r="F8" i="14" l="1"/>
  <c r="B11" i="14"/>
  <c r="K7" i="16"/>
  <c r="Q10" i="20"/>
  <c r="S31" i="20" s="1"/>
  <c r="B10" i="21"/>
  <c r="K9" i="32"/>
  <c r="K8" i="14" l="1"/>
  <c r="F11" i="14"/>
  <c r="Q7" i="16"/>
  <c r="B7" i="17"/>
  <c r="F10" i="21"/>
  <c r="Q9" i="32"/>
  <c r="S29" i="32" s="1"/>
  <c r="Q8" i="14" l="1"/>
  <c r="S28" i="14" s="1"/>
  <c r="B8" i="16"/>
  <c r="K11" i="14"/>
  <c r="F7" i="17"/>
  <c r="Q15" i="16"/>
  <c r="S26" i="16"/>
  <c r="K10" i="21"/>
  <c r="F8" i="16" l="1"/>
  <c r="B11" i="16"/>
  <c r="K7" i="17"/>
  <c r="B10" i="22"/>
  <c r="Q10" i="21"/>
  <c r="S31" i="21" s="1"/>
  <c r="K8" i="16" l="1"/>
  <c r="F11" i="16"/>
  <c r="B7" i="18"/>
  <c r="Q7" i="17"/>
  <c r="F10" i="22"/>
  <c r="B8" i="17" l="1"/>
  <c r="Q8" i="16"/>
  <c r="S28" i="16" s="1"/>
  <c r="K11" i="16"/>
  <c r="S26" i="17"/>
  <c r="Q15" i="17"/>
  <c r="F7" i="18"/>
  <c r="K10" i="22"/>
  <c r="F8" i="17" l="1"/>
  <c r="B11" i="17"/>
  <c r="K7" i="18"/>
  <c r="Q10" i="22"/>
  <c r="S31" i="22" s="1"/>
  <c r="B10" i="23"/>
  <c r="K8" i="17" l="1"/>
  <c r="F11" i="17"/>
  <c r="Q7" i="18"/>
  <c r="B7" i="19"/>
  <c r="F10" i="23"/>
  <c r="Q8" i="17" l="1"/>
  <c r="S28" i="17" s="1"/>
  <c r="B8" i="18"/>
  <c r="K11" i="17"/>
  <c r="F7" i="19"/>
  <c r="Q15" i="18"/>
  <c r="S26" i="18"/>
  <c r="K10" i="23"/>
  <c r="F8" i="18" l="1"/>
  <c r="B11" i="18"/>
  <c r="K7" i="19"/>
  <c r="B10" i="24"/>
  <c r="Q10" i="23"/>
  <c r="S31" i="23" s="1"/>
  <c r="K8" i="18" l="1"/>
  <c r="F11" i="18"/>
  <c r="Q7" i="19"/>
  <c r="B7" i="20"/>
  <c r="F10" i="24"/>
  <c r="B8" i="19" l="1"/>
  <c r="Q8" i="18"/>
  <c r="S28" i="18" s="1"/>
  <c r="K11" i="18"/>
  <c r="F7" i="20"/>
  <c r="S26" i="19"/>
  <c r="Q15" i="19"/>
  <c r="K10" i="24"/>
  <c r="F8" i="19" l="1"/>
  <c r="B11" i="19"/>
  <c r="K7" i="20"/>
  <c r="Q10" i="24"/>
  <c r="S31" i="24" s="1"/>
  <c r="B10" i="25"/>
  <c r="K8" i="19" l="1"/>
  <c r="F11" i="19"/>
  <c r="B7" i="21"/>
  <c r="Q7" i="20"/>
  <c r="F10" i="25"/>
  <c r="Q8" i="19" l="1"/>
  <c r="S28" i="19" s="1"/>
  <c r="B8" i="20"/>
  <c r="K11" i="19"/>
  <c r="S26" i="20"/>
  <c r="Q15" i="20"/>
  <c r="F7" i="21"/>
  <c r="K10" i="25"/>
  <c r="F8" i="20" l="1"/>
  <c r="B11" i="20"/>
  <c r="K7" i="21"/>
  <c r="B10" i="26"/>
  <c r="Q10" i="25"/>
  <c r="S31" i="25" s="1"/>
  <c r="K8" i="20" l="1"/>
  <c r="F11" i="20"/>
  <c r="Q7" i="21"/>
  <c r="B7" i="22"/>
  <c r="F10" i="26"/>
  <c r="Q8" i="20" l="1"/>
  <c r="S28" i="20" s="1"/>
  <c r="B8" i="21"/>
  <c r="K11" i="20"/>
  <c r="F7" i="22"/>
  <c r="Q15" i="21"/>
  <c r="S26" i="21"/>
  <c r="K10" i="26"/>
  <c r="F8" i="21" l="1"/>
  <c r="B11" i="21"/>
  <c r="K7" i="22"/>
  <c r="Q10" i="26"/>
  <c r="S31" i="26" s="1"/>
  <c r="B10" i="27"/>
  <c r="K8" i="21" l="1"/>
  <c r="F11" i="21"/>
  <c r="Q7" i="22"/>
  <c r="B7" i="23"/>
  <c r="F10" i="27"/>
  <c r="Q8" i="21" l="1"/>
  <c r="S28" i="21" s="1"/>
  <c r="B8" i="22"/>
  <c r="K11" i="21"/>
  <c r="F7" i="23"/>
  <c r="S26" i="22"/>
  <c r="Q15" i="22"/>
  <c r="K10" i="27"/>
  <c r="F8" i="22" l="1"/>
  <c r="B11" i="22"/>
  <c r="K7" i="23"/>
  <c r="Q10" i="27"/>
  <c r="S31" i="27" s="1"/>
  <c r="B10" i="28"/>
  <c r="K8" i="22" l="1"/>
  <c r="F11" i="22"/>
  <c r="Q7" i="23"/>
  <c r="B7" i="24"/>
  <c r="F10" i="28"/>
  <c r="B8" i="23" l="1"/>
  <c r="Q8" i="22"/>
  <c r="S28" i="22" s="1"/>
  <c r="K11" i="22"/>
  <c r="F7" i="24"/>
  <c r="Q15" i="23"/>
  <c r="S26" i="23"/>
  <c r="K10" i="28"/>
  <c r="F8" i="23" l="1"/>
  <c r="B11" i="23"/>
  <c r="K7" i="24"/>
  <c r="B10" i="29"/>
  <c r="Q10" i="28"/>
  <c r="S31" i="28" s="1"/>
  <c r="K8" i="23" l="1"/>
  <c r="F11" i="23"/>
  <c r="Q7" i="24"/>
  <c r="B7" i="25"/>
  <c r="F10" i="29"/>
  <c r="B8" i="24" l="1"/>
  <c r="Q8" i="23"/>
  <c r="S28" i="23" s="1"/>
  <c r="K11" i="23"/>
  <c r="F7" i="25"/>
  <c r="S26" i="24"/>
  <c r="Q15" i="24"/>
  <c r="K10" i="29"/>
  <c r="F8" i="24" l="1"/>
  <c r="B11" i="24"/>
  <c r="K7" i="25"/>
  <c r="B10" i="30"/>
  <c r="Q10" i="29"/>
  <c r="S31" i="29" s="1"/>
  <c r="K8" i="24" l="1"/>
  <c r="F11" i="24"/>
  <c r="Q7" i="25"/>
  <c r="B7" i="26"/>
  <c r="F10" i="30"/>
  <c r="Q8" i="24" l="1"/>
  <c r="S28" i="24" s="1"/>
  <c r="B8" i="25"/>
  <c r="K11" i="24"/>
  <c r="F7" i="26"/>
  <c r="Q15" i="25"/>
  <c r="S26" i="25"/>
  <c r="K10" i="30"/>
  <c r="F8" i="25" l="1"/>
  <c r="B11" i="25"/>
  <c r="K7" i="26"/>
  <c r="Q10" i="30"/>
  <c r="S31" i="30" s="1"/>
  <c r="B10" i="31"/>
  <c r="K8" i="25" l="1"/>
  <c r="F11" i="25"/>
  <c r="B7" i="27"/>
  <c r="Q7" i="26"/>
  <c r="F10" i="31"/>
  <c r="B8" i="26" l="1"/>
  <c r="Q8" i="25"/>
  <c r="S28" i="25" s="1"/>
  <c r="K11" i="25"/>
  <c r="S26" i="26"/>
  <c r="Q15" i="26"/>
  <c r="F7" i="27"/>
  <c r="K10" i="31"/>
  <c r="F8" i="26" l="1"/>
  <c r="B11" i="26"/>
  <c r="K7" i="27"/>
  <c r="Q10" i="31"/>
  <c r="S31" i="31" s="1"/>
  <c r="B10" i="32"/>
  <c r="K8" i="26" l="1"/>
  <c r="F11" i="26"/>
  <c r="Q7" i="27"/>
  <c r="B7" i="28"/>
  <c r="F10" i="32"/>
  <c r="Q8" i="26" l="1"/>
  <c r="S28" i="26" s="1"/>
  <c r="B8" i="27"/>
  <c r="K11" i="26"/>
  <c r="F7" i="28"/>
  <c r="Q15" i="27"/>
  <c r="S26" i="27"/>
  <c r="K10" i="32"/>
  <c r="F8" i="27" l="1"/>
  <c r="B11" i="27"/>
  <c r="K7" i="28"/>
  <c r="Q10" i="32"/>
  <c r="S31" i="32" s="1"/>
  <c r="K8" i="27" l="1"/>
  <c r="F11" i="27"/>
  <c r="B7" i="29"/>
  <c r="Q7" i="28"/>
  <c r="Q8" i="27" l="1"/>
  <c r="S28" i="27" s="1"/>
  <c r="B8" i="28"/>
  <c r="K11" i="27"/>
  <c r="S26" i="28"/>
  <c r="Q15" i="28"/>
  <c r="F7" i="29"/>
  <c r="F8" i="28" l="1"/>
  <c r="B11" i="28"/>
  <c r="K7" i="29"/>
  <c r="K8" i="28" l="1"/>
  <c r="F11" i="28"/>
  <c r="Q7" i="29"/>
  <c r="B7" i="30"/>
  <c r="Q8" i="28" l="1"/>
  <c r="S28" i="28" s="1"/>
  <c r="B8" i="29"/>
  <c r="K11" i="28"/>
  <c r="F7" i="30"/>
  <c r="Q15" i="29"/>
  <c r="S26" i="29"/>
  <c r="F8" i="29" l="1"/>
  <c r="B11" i="29"/>
  <c r="K7" i="30"/>
  <c r="K8" i="29" l="1"/>
  <c r="F11" i="29"/>
  <c r="B7" i="31"/>
  <c r="Q7" i="30"/>
  <c r="Q8" i="29" l="1"/>
  <c r="S28" i="29" s="1"/>
  <c r="B8" i="30"/>
  <c r="K11" i="29"/>
  <c r="Q15" i="30"/>
  <c r="S26" i="30"/>
  <c r="F7" i="31"/>
  <c r="F8" i="30" l="1"/>
  <c r="B11" i="30"/>
  <c r="K7" i="31"/>
  <c r="K8" i="30" l="1"/>
  <c r="F11" i="30"/>
  <c r="B7" i="32"/>
  <c r="Q7" i="31"/>
  <c r="B8" i="31" l="1"/>
  <c r="Q8" i="30"/>
  <c r="S28" i="30" s="1"/>
  <c r="K11" i="30"/>
  <c r="Q15" i="31"/>
  <c r="S26" i="31"/>
  <c r="F7" i="32"/>
  <c r="F8" i="31" l="1"/>
  <c r="B11" i="31"/>
  <c r="K7" i="32"/>
  <c r="K8" i="31" l="1"/>
  <c r="F11" i="31"/>
  <c r="Q7" i="32"/>
  <c r="B8" i="32" l="1"/>
  <c r="Q8" i="31"/>
  <c r="S28" i="31" s="1"/>
  <c r="K11" i="31"/>
  <c r="S26" i="32"/>
  <c r="Q15" i="32"/>
  <c r="F8" i="32" l="1"/>
  <c r="B11" i="32"/>
  <c r="K8" i="32" l="1"/>
  <c r="F11" i="32"/>
  <c r="Q8" i="32" l="1"/>
  <c r="S28" i="32" s="1"/>
  <c r="K11" i="32"/>
</calcChain>
</file>

<file path=xl/comments1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3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4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5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6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7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8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9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0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1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2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3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4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5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6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7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8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9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3.xml><?xml version="1.0" encoding="utf-8"?>
<comments xmlns="http://schemas.openxmlformats.org/spreadsheetml/2006/main">
  <authors>
    <author>user</author>
    <author>Adm AmericaSoler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  <comment ref="L36" authorId="1" shapeId="0">
      <text>
        <r>
          <rPr>
            <b/>
            <sz val="9"/>
            <color indexed="81"/>
            <rFont val="Tahoma"/>
            <charset val="1"/>
          </rPr>
          <t>Adm AmericaSoler:</t>
        </r>
        <r>
          <rPr>
            <sz val="9"/>
            <color indexed="81"/>
            <rFont val="Tahoma"/>
            <charset val="1"/>
          </rPr>
          <t xml:space="preserve">
DEPOSITADO EL 06/03</t>
        </r>
      </text>
    </comment>
  </commentList>
</comments>
</file>

<file path=xl/comments30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31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6.xml><?xml version="1.0" encoding="utf-8"?>
<comments xmlns="http://schemas.openxmlformats.org/spreadsheetml/2006/main">
  <authors>
    <author>user</author>
    <author>Adm AmericaSoler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  <comment ref="L36" authorId="1" shapeId="0">
      <text>
        <r>
          <rPr>
            <b/>
            <sz val="9"/>
            <color indexed="81"/>
            <rFont val="Tahoma"/>
            <charset val="1"/>
          </rPr>
          <t>Adm AmericaSoler:</t>
        </r>
        <r>
          <rPr>
            <sz val="9"/>
            <color indexed="81"/>
            <rFont val="Tahoma"/>
            <charset val="1"/>
          </rPr>
          <t xml:space="preserve">
adelanto para pintado de compresor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sharedStrings.xml><?xml version="1.0" encoding="utf-8"?>
<sst xmlns="http://schemas.openxmlformats.org/spreadsheetml/2006/main" count="7233" uniqueCount="200">
  <si>
    <t>CONTROL DIARIO DE INVENTARIOS Y VENTAS</t>
  </si>
  <si>
    <t>EE.SS.</t>
  </si>
  <si>
    <t>MULTISERVICIOS ECO GAS SAC</t>
  </si>
  <si>
    <t>CODIGO</t>
  </si>
  <si>
    <t>UBICACIÓN</t>
  </si>
  <si>
    <t>ESQ CESAR VALLEJO Y  AV. AMERICA</t>
  </si>
  <si>
    <t>FECHA</t>
  </si>
  <si>
    <t>ELABORADO POR</t>
  </si>
  <si>
    <t>CRISTIAN CASTILLO CRUZ</t>
  </si>
  <si>
    <t xml:space="preserve">FICHA </t>
  </si>
  <si>
    <t xml:space="preserve">TIPO </t>
  </si>
  <si>
    <t xml:space="preserve">INVENT </t>
  </si>
  <si>
    <t>INGRESO</t>
  </si>
  <si>
    <t xml:space="preserve">SALIDAS </t>
  </si>
  <si>
    <t>VARILLAJE</t>
  </si>
  <si>
    <t>VENTAS AL CONTADO</t>
  </si>
  <si>
    <t>COMB</t>
  </si>
  <si>
    <t>INICIAL</t>
  </si>
  <si>
    <t>COMPRA PLANTA</t>
  </si>
  <si>
    <t>PRUEBA SURTIDOR</t>
  </si>
  <si>
    <t>AJUSTE</t>
  </si>
  <si>
    <t>TOTAL INGRESO</t>
  </si>
  <si>
    <t>TOTAL VENTAS</t>
  </si>
  <si>
    <t>TOTAL SALIDA</t>
  </si>
  <si>
    <t>PRECIO      VENTA</t>
  </si>
  <si>
    <t>VENTA         SOLES</t>
  </si>
  <si>
    <t>DIF</t>
  </si>
  <si>
    <t>GLP</t>
  </si>
  <si>
    <t>PREMIUM</t>
  </si>
  <si>
    <t>REGULAR</t>
  </si>
  <si>
    <t>G-84</t>
  </si>
  <si>
    <t>DB5-S</t>
  </si>
  <si>
    <t xml:space="preserve"> </t>
  </si>
  <si>
    <t>VENTAS CONTADO ESPECIALES y Otros</t>
  </si>
  <si>
    <t>DOCUMENTACIÓN CONTABLE</t>
  </si>
  <si>
    <t xml:space="preserve">RESUMEN DEL EFECTIVO </t>
  </si>
  <si>
    <t>CLIENTE</t>
  </si>
  <si>
    <t>TIPO VTA</t>
  </si>
  <si>
    <t>CANT</t>
  </si>
  <si>
    <t>DESCUENTO</t>
  </si>
  <si>
    <t>SOLES</t>
  </si>
  <si>
    <t>DOC. NRO.</t>
  </si>
  <si>
    <t>DOCUMENTOS</t>
  </si>
  <si>
    <t>DESDE</t>
  </si>
  <si>
    <t>HASTA</t>
  </si>
  <si>
    <t>MODALIDAD</t>
  </si>
  <si>
    <t>GLNS</t>
  </si>
  <si>
    <t>CORPORACION HORIZINTE</t>
  </si>
  <si>
    <t>ESPECIAL</t>
  </si>
  <si>
    <t>DB5 S50 UV</t>
  </si>
  <si>
    <t>FACTURAS            SERIE  012-</t>
  </si>
  <si>
    <t>TOTAL VENTA</t>
  </si>
  <si>
    <t>SEGUNDO BARRIOS Q</t>
  </si>
  <si>
    <t>G-90 P</t>
  </si>
  <si>
    <t>BOLETAS           SERIE  012-</t>
  </si>
  <si>
    <t xml:space="preserve">TARJETA </t>
  </si>
  <si>
    <t>LIQUIDOS</t>
  </si>
  <si>
    <t>ALEX BELLO R.</t>
  </si>
  <si>
    <t>G-PREMIUM</t>
  </si>
  <si>
    <t>G-REGULAR</t>
  </si>
  <si>
    <t>CREDITOS</t>
  </si>
  <si>
    <t>PAGO ADELANTADO (PADE)</t>
  </si>
  <si>
    <t>ERROR DE MAQUINAS LIQ</t>
  </si>
  <si>
    <t>REDCOL</t>
  </si>
  <si>
    <t>GISSELA JUAREZ</t>
  </si>
  <si>
    <t>TRANSPORTES DAYRON Y NICOL EIRL</t>
  </si>
  <si>
    <t xml:space="preserve">SALDO </t>
  </si>
  <si>
    <t>CONSUMO</t>
  </si>
  <si>
    <t>CONSUMO DE PAGO ADELANTADOS</t>
  </si>
  <si>
    <t>PANIFICADORA SANDOVAL</t>
  </si>
  <si>
    <t>DEP. RETENCION</t>
  </si>
  <si>
    <t>DESCUENTO ESPECIAL</t>
  </si>
  <si>
    <t>AGROPECUARIA LA ENCANTADA SAC</t>
  </si>
  <si>
    <t>PAGO</t>
  </si>
  <si>
    <t>CREDITOS CLIENTES ESPECIALES</t>
  </si>
  <si>
    <t>FELIPE IBAÑEZ E.</t>
  </si>
  <si>
    <t>SALDO</t>
  </si>
  <si>
    <t>TOTAL VENTA DEPOSITAR</t>
  </si>
  <si>
    <t xml:space="preserve">GISSELA JUAREZ </t>
  </si>
  <si>
    <t>OBRAS CIVILES</t>
  </si>
  <si>
    <t>INFORMACION RECEPCION COMBUSTIBLES</t>
  </si>
  <si>
    <t>COMB.</t>
  </si>
  <si>
    <t>CANT.</t>
  </si>
  <si>
    <t>GUIA/FACT</t>
  </si>
  <si>
    <t>PLACA</t>
  </si>
  <si>
    <t>HORA/CHOFER</t>
  </si>
  <si>
    <t>OBSERVACION</t>
  </si>
  <si>
    <t xml:space="preserve">GLP </t>
  </si>
  <si>
    <t>G</t>
  </si>
  <si>
    <t>J LUICHO</t>
  </si>
  <si>
    <t>CHARITO SEBASTIAN MILSEN</t>
  </si>
  <si>
    <t>V CONDORI</t>
  </si>
  <si>
    <t>COCAPE</t>
  </si>
  <si>
    <t>CORPORACION AGREDA</t>
  </si>
  <si>
    <t>ESTEBAN DC</t>
  </si>
  <si>
    <t>TOTAL</t>
  </si>
  <si>
    <t>ABAST L</t>
  </si>
  <si>
    <t>B</t>
  </si>
  <si>
    <t>ABAST glp</t>
  </si>
  <si>
    <t xml:space="preserve">VENTA CON TARJETAS </t>
  </si>
  <si>
    <t>PRODUCTOS</t>
  </si>
  <si>
    <t>TOTEM</t>
  </si>
  <si>
    <t>P. DSCTO</t>
  </si>
  <si>
    <t>TOTAL DSCTO</t>
  </si>
  <si>
    <t>BANCO</t>
  </si>
  <si>
    <t>OBSERVACIONES.-</t>
  </si>
  <si>
    <t>G-95</t>
  </si>
  <si>
    <t>NIUBIZ (V)</t>
  </si>
  <si>
    <t>G-90</t>
  </si>
  <si>
    <t>C Y M  SERVICENTROS</t>
  </si>
  <si>
    <t>IZIPAY (M)</t>
  </si>
  <si>
    <t>DEPOSITO 1</t>
  </si>
  <si>
    <t>DEPOSITO A BANCO aL :</t>
  </si>
  <si>
    <t>DEPOSITO 2</t>
  </si>
  <si>
    <t>983-0219037</t>
  </si>
  <si>
    <t>TOT DET</t>
  </si>
  <si>
    <t>983-0219045</t>
  </si>
  <si>
    <t>total GRAL</t>
  </si>
  <si>
    <t>DIFERENCIA</t>
  </si>
  <si>
    <t>PROD</t>
  </si>
  <si>
    <t>GALNS</t>
  </si>
  <si>
    <t>PRECIO</t>
  </si>
  <si>
    <t xml:space="preserve">SOLES </t>
  </si>
  <si>
    <t>DESCARGA GLP</t>
  </si>
  <si>
    <t>peso</t>
  </si>
  <si>
    <t>galones</t>
  </si>
  <si>
    <t>litros</t>
  </si>
  <si>
    <t>precio del galon</t>
  </si>
  <si>
    <t>SCOTIABANAK</t>
  </si>
  <si>
    <t>DB-5</t>
  </si>
  <si>
    <t>factura</t>
  </si>
  <si>
    <t>CTA. AHORROS =</t>
  </si>
  <si>
    <t>L</t>
  </si>
  <si>
    <t>NORTE</t>
  </si>
  <si>
    <t>CCI = 009-134-209830219037-88</t>
  </si>
  <si>
    <t>LIMA</t>
  </si>
  <si>
    <t>009134209830219037-88</t>
  </si>
  <si>
    <t>492-6948</t>
  </si>
  <si>
    <t>492-1828</t>
  </si>
  <si>
    <t>492-7014</t>
  </si>
  <si>
    <t>2840</t>
  </si>
  <si>
    <t>492-1855</t>
  </si>
  <si>
    <t>0017-5183</t>
  </si>
  <si>
    <t>A4D-979</t>
  </si>
  <si>
    <t>PUNTO GAS</t>
  </si>
  <si>
    <t>492-1866</t>
  </si>
  <si>
    <t>492-7083</t>
  </si>
  <si>
    <t>492-7174</t>
  </si>
  <si>
    <t>492-1897</t>
  </si>
  <si>
    <t>492-7160</t>
  </si>
  <si>
    <t>492-7260</t>
  </si>
  <si>
    <t>492-7315</t>
  </si>
  <si>
    <t>492-7356</t>
  </si>
  <si>
    <t>492-1963</t>
  </si>
  <si>
    <t>2870</t>
  </si>
  <si>
    <t>0032-3910</t>
  </si>
  <si>
    <t>D7A-971</t>
  </si>
  <si>
    <t>492-7371</t>
  </si>
  <si>
    <t>VEI-970</t>
  </si>
  <si>
    <t>F010-12069</t>
  </si>
  <si>
    <t>PAGO CONEXIÓN EN CALIENTE-HIDRANDINA</t>
  </si>
  <si>
    <t>492-7433</t>
  </si>
  <si>
    <t>492-7470</t>
  </si>
  <si>
    <t>492-2008</t>
  </si>
  <si>
    <t>492-7484</t>
  </si>
  <si>
    <t>f016-62133</t>
  </si>
  <si>
    <t>f7y-991</t>
  </si>
  <si>
    <t>492-2016</t>
  </si>
  <si>
    <t>492-2017</t>
  </si>
  <si>
    <t>492-7535</t>
  </si>
  <si>
    <t>1900</t>
  </si>
  <si>
    <t>0032-3927</t>
  </si>
  <si>
    <t>492-7573</t>
  </si>
  <si>
    <t>492-2050</t>
  </si>
  <si>
    <t>492-7641</t>
  </si>
  <si>
    <t>GASTO POR COMPRA DE MEDIDOR LUZ - AUT MAURICIO</t>
  </si>
  <si>
    <t>492-685</t>
  </si>
  <si>
    <t>F010-12127</t>
  </si>
  <si>
    <t>A2N-897</t>
  </si>
  <si>
    <t>F010-12126</t>
  </si>
  <si>
    <t>492-7734</t>
  </si>
  <si>
    <t>2900</t>
  </si>
  <si>
    <t>0032-3935</t>
  </si>
  <si>
    <t>492-2105</t>
  </si>
  <si>
    <t>492-2138</t>
  </si>
  <si>
    <t>F010-12146</t>
  </si>
  <si>
    <t>492-2164</t>
  </si>
  <si>
    <t>492-7893/4</t>
  </si>
  <si>
    <t>2890</t>
  </si>
  <si>
    <t>0032-3950</t>
  </si>
  <si>
    <t>492-2179</t>
  </si>
  <si>
    <t>F010-12169</t>
  </si>
  <si>
    <t>492-2203</t>
  </si>
  <si>
    <t>f010-12180</t>
  </si>
  <si>
    <t>492-2213</t>
  </si>
  <si>
    <t>DB5</t>
  </si>
  <si>
    <t>VARILLAJE FINAL</t>
  </si>
  <si>
    <t xml:space="preserve">  CANT. GLNS</t>
  </si>
  <si>
    <t>VARILLAJE INICIAL</t>
  </si>
  <si>
    <t>INVENT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</si>
</sst>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(* #,##0.00_);_(* \(#,##0.00\);_(* &quot;-&quot;??_);_(@_)"/>
    <numFmt numFmtId="165" formatCode="_ * #,##0.000_ ;_ * \-#,##0.000_ ;_ * &quot;-&quot;??_ ;_ @_ "/>
    <numFmt numFmtId="166" formatCode="_(* #,##0.000_);_(* \(#,##0.000\);_(* &quot;-&quot;??_);_(@_)"/>
    <numFmt numFmtId="167" formatCode="0.000"/>
    <numFmt numFmtId="168" formatCode="_-* #,##0.00\ _€_-;\-* #,##0.00\ _€_-;_-* &quot;-&quot;??\ _€_-;_-@_-"/>
    <numFmt numFmtId="169" formatCode="_ * #,##0.00_ ;_ * \-#,##0.00_ ;_ * &quot;-&quot;??_ ;_ @_ "/>
    <numFmt numFmtId="170" formatCode="_ [$S/.-280A]\ * #,##0.00_ ;_ [$S/.-280A]\ * \-#,##0.00_ ;_ [$S/.-280A]\ * &quot;-&quot;??_ ;_ @_ "/>
    <numFmt numFmtId="171" formatCode="h:mm:ss;@"/>
    <numFmt numFmtId="172" formatCode="0.0000"/>
    <numFmt numFmtId="173" formatCode="_ &quot;S/.&quot;\ * #,##0.00_ ;_ &quot;S/.&quot;\ * \-#,##0.00_ ;_ &quot;S/.&quot;\ * &quot;-&quot;??_ ;_ @_ "/>
    <numFmt numFmtId="174" formatCode="dd/mm/yyyy;@"/>
    <numFmt numFmtId="175" formatCode="&quot;S/&quot;#,##0.00"/>
    <numFmt numFmtId="176" formatCode="_-[$S/-280A]* #,##0.00_-;\-[$S/-280A]* #,##0.00_-;_-[$S/-280A]* &quot;-&quot;??_-;_-@_-"/>
    <numFmt numFmtId="177" formatCode="_-* #,##0.0000\ _€_-;\-* #,##0.0000\ _€_-;_-* &quot;-&quot;??\ _€_-;_-@_-"/>
    <numFmt numFmtId="178" formatCode="_(* #,##0.0000_);_(* \(#,##0.0000\);_(* &quot;-&quot;??_);_(@_)"/>
    <numFmt numFmtId="179" formatCode="_ * #,##0.0000_ ;_ * \-#,##0.0000_ ;_ * &quot;-&quot;??_ ;_ @_ "/>
    <numFmt numFmtId="180" formatCode="#,##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Arial"/>
      <family val="2"/>
    </font>
    <font>
      <b/>
      <sz val="8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002060"/>
      <name val="Arial"/>
      <family val="2"/>
    </font>
    <font>
      <b/>
      <sz val="8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theme="1"/>
      <name val="Arial"/>
      <family val="2"/>
    </font>
    <font>
      <sz val="11"/>
      <color theme="5" tint="0.79998168889431442"/>
      <name val="Calibri"/>
      <family val="2"/>
      <scheme val="minor"/>
    </font>
    <font>
      <sz val="8"/>
      <color theme="0"/>
      <name val="Arial"/>
      <family val="2"/>
    </font>
    <font>
      <b/>
      <sz val="9"/>
      <color rgb="FF002060"/>
      <name val="Arial"/>
      <family val="2"/>
    </font>
    <font>
      <b/>
      <sz val="7"/>
      <color rgb="FF002060"/>
      <name val="Arial"/>
      <family val="2"/>
    </font>
    <font>
      <b/>
      <sz val="11"/>
      <color rgb="FF002060"/>
      <name val="Calibri"/>
      <family val="2"/>
      <scheme val="minor"/>
    </font>
    <font>
      <sz val="8"/>
      <color theme="2" tint="-9.9978637043366805E-2"/>
      <name val="Arial"/>
      <family val="2"/>
    </font>
    <font>
      <sz val="10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002060"/>
      <name val="Arial"/>
      <family val="2"/>
    </font>
    <font>
      <sz val="12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2060"/>
      <name val="Arial"/>
      <family val="2"/>
    </font>
    <font>
      <b/>
      <sz val="12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rgb="FFFF0000"/>
      <name val="Arial"/>
      <family val="2"/>
    </font>
    <font>
      <sz val="11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sz val="8"/>
      <color theme="4" tint="-0.249977111117893"/>
      <name val="Arial"/>
      <family val="2"/>
    </font>
    <font>
      <sz val="9"/>
      <color rgb="FF002060"/>
      <name val="Calibri"/>
      <family val="2"/>
      <scheme val="minor"/>
    </font>
    <font>
      <sz val="9"/>
      <color theme="4" tint="-0.249977111117893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365">
    <xf numFmtId="0" fontId="0" fillId="0" borderId="0" xfId="0"/>
    <xf numFmtId="0" fontId="6" fillId="2" borderId="7" xfId="0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7" fillId="0" borderId="0" xfId="0" applyFont="1"/>
    <xf numFmtId="0" fontId="6" fillId="2" borderId="14" xfId="0" applyFont="1" applyFill="1" applyBorder="1" applyAlignment="1">
      <alignment horizontal="left" vertical="top" wrapText="1"/>
    </xf>
    <xf numFmtId="14" fontId="8" fillId="0" borderId="0" xfId="0" applyNumberFormat="1" applyFont="1" applyAlignment="1">
      <alignment wrapText="1"/>
    </xf>
    <xf numFmtId="0" fontId="6" fillId="2" borderId="22" xfId="0" applyFont="1" applyFill="1" applyBorder="1" applyAlignment="1">
      <alignment horizontal="left" vertical="top" wrapText="1"/>
    </xf>
    <xf numFmtId="1" fontId="7" fillId="0" borderId="0" xfId="0" applyNumberFormat="1" applyFont="1"/>
    <xf numFmtId="0" fontId="6" fillId="0" borderId="24" xfId="0" applyFont="1" applyBorder="1" applyAlignment="1">
      <alignment vertical="top"/>
    </xf>
    <xf numFmtId="0" fontId="6" fillId="0" borderId="25" xfId="0" applyFont="1" applyBorder="1" applyAlignment="1">
      <alignment vertical="top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6" fillId="0" borderId="29" xfId="1" applyNumberFormat="1" applyFont="1" applyBorder="1" applyAlignment="1">
      <alignment horizontal="left" vertical="center" wrapText="1"/>
    </xf>
    <xf numFmtId="165" fontId="6" fillId="0" borderId="14" xfId="1" applyNumberFormat="1" applyFont="1" applyBorder="1" applyAlignment="1">
      <alignment vertical="top"/>
    </xf>
    <xf numFmtId="165" fontId="6" fillId="0" borderId="14" xfId="1" applyNumberFormat="1" applyFont="1" applyBorder="1" applyAlignment="1">
      <alignment horizontal="center" vertical="center" wrapText="1"/>
    </xf>
    <xf numFmtId="165" fontId="6" fillId="0" borderId="14" xfId="1" applyNumberFormat="1" applyFont="1" applyBorder="1" applyAlignment="1">
      <alignment horizontal="right" vertical="center" wrapText="1"/>
    </xf>
    <xf numFmtId="165" fontId="6" fillId="0" borderId="14" xfId="1" applyNumberFormat="1" applyFont="1" applyBorder="1" applyAlignment="1">
      <alignment horizontal="right" vertical="top"/>
    </xf>
    <xf numFmtId="165" fontId="10" fillId="0" borderId="14" xfId="1" applyNumberFormat="1" applyFont="1" applyBorder="1" applyAlignment="1">
      <alignment horizontal="center" vertical="center" wrapText="1"/>
    </xf>
    <xf numFmtId="165" fontId="10" fillId="0" borderId="14" xfId="1" applyNumberFormat="1" applyFont="1" applyBorder="1" applyAlignment="1">
      <alignment horizontal="right" vertical="center" wrapText="1"/>
    </xf>
    <xf numFmtId="165" fontId="10" fillId="3" borderId="14" xfId="1" applyNumberFormat="1" applyFont="1" applyFill="1" applyBorder="1" applyAlignment="1">
      <alignment vertical="top"/>
    </xf>
    <xf numFmtId="165" fontId="10" fillId="4" borderId="14" xfId="1" applyNumberFormat="1" applyFont="1" applyFill="1" applyBorder="1" applyAlignment="1">
      <alignment vertical="top"/>
    </xf>
    <xf numFmtId="165" fontId="6" fillId="0" borderId="11" xfId="1" applyNumberFormat="1" applyFont="1" applyBorder="1" applyAlignment="1">
      <alignment horizontal="right" vertical="top"/>
    </xf>
    <xf numFmtId="164" fontId="11" fillId="0" borderId="14" xfId="1" applyFont="1" applyBorder="1" applyAlignment="1">
      <alignment horizontal="center" wrapText="1"/>
    </xf>
    <xf numFmtId="165" fontId="7" fillId="0" borderId="0" xfId="1" applyNumberFormat="1" applyFont="1"/>
    <xf numFmtId="165" fontId="12" fillId="0" borderId="0" xfId="1" applyNumberFormat="1" applyFont="1" applyBorder="1" applyAlignment="1">
      <alignment wrapText="1"/>
    </xf>
    <xf numFmtId="166" fontId="6" fillId="0" borderId="14" xfId="1" applyNumberFormat="1" applyFont="1" applyBorder="1" applyAlignment="1">
      <alignment horizontal="right" vertical="top"/>
    </xf>
    <xf numFmtId="0" fontId="13" fillId="0" borderId="0" xfId="0" quotePrefix="1" applyFont="1" applyAlignment="1">
      <alignment vertical="center"/>
    </xf>
    <xf numFmtId="165" fontId="14" fillId="0" borderId="0" xfId="1" applyNumberFormat="1" applyFont="1" applyBorder="1" applyAlignment="1">
      <alignment wrapText="1"/>
    </xf>
    <xf numFmtId="165" fontId="7" fillId="0" borderId="0" xfId="1" applyNumberFormat="1" applyFont="1" applyBorder="1" applyAlignment="1"/>
    <xf numFmtId="165" fontId="6" fillId="0" borderId="31" xfId="1" applyNumberFormat="1" applyFont="1" applyBorder="1" applyAlignment="1">
      <alignment horizontal="left" vertical="top"/>
    </xf>
    <xf numFmtId="165" fontId="14" fillId="0" borderId="0" xfId="1" applyNumberFormat="1" applyFont="1"/>
    <xf numFmtId="165" fontId="6" fillId="0" borderId="32" xfId="1" applyNumberFormat="1" applyFont="1" applyBorder="1" applyAlignment="1">
      <alignment horizontal="left" vertical="top"/>
    </xf>
    <xf numFmtId="165" fontId="6" fillId="0" borderId="22" xfId="1" applyNumberFormat="1" applyFont="1" applyBorder="1" applyAlignment="1">
      <alignment horizontal="center" vertical="center" wrapText="1"/>
    </xf>
    <xf numFmtId="166" fontId="6" fillId="0" borderId="22" xfId="1" applyNumberFormat="1" applyFont="1" applyBorder="1" applyAlignment="1">
      <alignment horizontal="right" vertical="top"/>
    </xf>
    <xf numFmtId="165" fontId="6" fillId="0" borderId="22" xfId="1" applyNumberFormat="1" applyFont="1" applyBorder="1" applyAlignment="1">
      <alignment horizontal="right" vertical="top"/>
    </xf>
    <xf numFmtId="165" fontId="10" fillId="0" borderId="22" xfId="1" applyNumberFormat="1" applyFont="1" applyBorder="1" applyAlignment="1">
      <alignment horizontal="center" vertical="center" wrapText="1"/>
    </xf>
    <xf numFmtId="165" fontId="6" fillId="0" borderId="22" xfId="1" applyNumberFormat="1" applyFont="1" applyBorder="1" applyAlignment="1">
      <alignment vertical="top"/>
    </xf>
    <xf numFmtId="165" fontId="6" fillId="0" borderId="33" xfId="1" applyNumberFormat="1" applyFont="1" applyBorder="1" applyAlignment="1">
      <alignment horizontal="right" vertical="top"/>
    </xf>
    <xf numFmtId="165" fontId="6" fillId="0" borderId="34" xfId="1" applyNumberFormat="1" applyFont="1" applyBorder="1" applyAlignment="1">
      <alignment horizontal="center" vertical="top"/>
    </xf>
    <xf numFmtId="2" fontId="6" fillId="0" borderId="0" xfId="0" applyNumberFormat="1" applyFont="1" applyAlignment="1">
      <alignment wrapText="1"/>
    </xf>
    <xf numFmtId="168" fontId="15" fillId="0" borderId="0" xfId="0" applyNumberFormat="1" applyFont="1" applyAlignment="1">
      <alignment wrapText="1"/>
    </xf>
    <xf numFmtId="0" fontId="6" fillId="5" borderId="14" xfId="0" applyFont="1" applyFill="1" applyBorder="1" applyAlignment="1">
      <alignment horizontal="center" vertical="top" wrapText="1"/>
    </xf>
    <xf numFmtId="0" fontId="6" fillId="5" borderId="11" xfId="0" applyFont="1" applyFill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37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38" xfId="0" applyFont="1" applyBorder="1" applyAlignment="1">
      <alignment horizontal="center" vertical="top" wrapText="1"/>
    </xf>
    <xf numFmtId="0" fontId="6" fillId="3" borderId="36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167" fontId="6" fillId="4" borderId="14" xfId="0" applyNumberFormat="1" applyFont="1" applyFill="1" applyBorder="1" applyAlignment="1">
      <alignment horizontal="right"/>
    </xf>
    <xf numFmtId="2" fontId="6" fillId="6" borderId="14" xfId="0" applyNumberFormat="1" applyFont="1" applyFill="1" applyBorder="1"/>
    <xf numFmtId="4" fontId="6" fillId="3" borderId="14" xfId="0" applyNumberFormat="1" applyFont="1" applyFill="1" applyBorder="1"/>
    <xf numFmtId="0" fontId="16" fillId="4" borderId="11" xfId="0" applyFont="1" applyFill="1" applyBorder="1" applyAlignment="1">
      <alignment horizontal="center"/>
    </xf>
    <xf numFmtId="0" fontId="6" fillId="0" borderId="39" xfId="0" applyFont="1" applyBorder="1" applyAlignment="1">
      <alignment horizontal="center" vertical="top" wrapText="1"/>
    </xf>
    <xf numFmtId="167" fontId="17" fillId="0" borderId="14" xfId="0" applyNumberFormat="1" applyFont="1" applyBorder="1" applyAlignment="1">
      <alignment vertical="top" wrapText="1"/>
    </xf>
    <xf numFmtId="164" fontId="6" fillId="0" borderId="38" xfId="1" applyFont="1" applyFill="1" applyBorder="1" applyAlignment="1">
      <alignment horizontal="right" vertical="top" wrapText="1"/>
    </xf>
    <xf numFmtId="0" fontId="6" fillId="0" borderId="41" xfId="0" applyFont="1" applyBorder="1" applyAlignment="1">
      <alignment horizontal="center" vertical="top" wrapText="1"/>
    </xf>
    <xf numFmtId="167" fontId="6" fillId="0" borderId="14" xfId="0" applyNumberFormat="1" applyFont="1" applyBorder="1" applyAlignment="1">
      <alignment vertical="top" wrapText="1"/>
    </xf>
    <xf numFmtId="167" fontId="6" fillId="4" borderId="14" xfId="0" applyNumberFormat="1" applyFont="1" applyFill="1" applyBorder="1"/>
    <xf numFmtId="164" fontId="6" fillId="4" borderId="38" xfId="1" applyFont="1" applyFill="1" applyBorder="1" applyAlignment="1">
      <alignment horizontal="right" vertical="center" wrapText="1"/>
    </xf>
    <xf numFmtId="0" fontId="7" fillId="0" borderId="0" xfId="0" applyFont="1" applyAlignment="1">
      <alignment wrapText="1"/>
    </xf>
    <xf numFmtId="169" fontId="16" fillId="4" borderId="11" xfId="0" applyNumberFormat="1" applyFont="1" applyFill="1" applyBorder="1" applyAlignment="1">
      <alignment horizontal="center"/>
    </xf>
    <xf numFmtId="0" fontId="6" fillId="3" borderId="29" xfId="0" applyFont="1" applyFill="1" applyBorder="1"/>
    <xf numFmtId="164" fontId="6" fillId="3" borderId="38" xfId="1" applyFont="1" applyFill="1" applyBorder="1"/>
    <xf numFmtId="0" fontId="6" fillId="3" borderId="31" xfId="0" applyFont="1" applyFill="1" applyBorder="1"/>
    <xf numFmtId="164" fontId="6" fillId="3" borderId="43" xfId="1" applyFont="1" applyFill="1" applyBorder="1"/>
    <xf numFmtId="0" fontId="6" fillId="3" borderId="12" xfId="0" applyFont="1" applyFill="1" applyBorder="1"/>
    <xf numFmtId="164" fontId="6" fillId="0" borderId="38" xfId="1" applyFont="1" applyFill="1" applyBorder="1" applyAlignment="1">
      <alignment horizontal="right" vertical="center" wrapText="1"/>
    </xf>
    <xf numFmtId="164" fontId="6" fillId="0" borderId="38" xfId="1" applyFont="1" applyBorder="1"/>
    <xf numFmtId="164" fontId="6" fillId="8" borderId="44" xfId="1" applyFont="1" applyFill="1" applyBorder="1" applyAlignment="1">
      <alignment vertical="top" wrapText="1"/>
    </xf>
    <xf numFmtId="164" fontId="6" fillId="8" borderId="23" xfId="1" applyFont="1" applyFill="1" applyBorder="1" applyAlignment="1">
      <alignment vertical="top" wrapText="1"/>
    </xf>
    <xf numFmtId="0" fontId="6" fillId="8" borderId="12" xfId="0" applyFont="1" applyFill="1" applyBorder="1" applyAlignment="1">
      <alignment vertical="top" wrapText="1"/>
    </xf>
    <xf numFmtId="164" fontId="6" fillId="8" borderId="12" xfId="1" applyFont="1" applyFill="1" applyBorder="1" applyAlignment="1">
      <alignment vertical="top" wrapText="1"/>
    </xf>
    <xf numFmtId="2" fontId="6" fillId="5" borderId="14" xfId="0" applyNumberFormat="1" applyFont="1" applyFill="1" applyBorder="1" applyAlignment="1">
      <alignment vertical="center"/>
    </xf>
    <xf numFmtId="164" fontId="6" fillId="5" borderId="38" xfId="1" applyFont="1" applyFill="1" applyBorder="1" applyAlignment="1">
      <alignment vertical="center"/>
    </xf>
    <xf numFmtId="0" fontId="4" fillId="0" borderId="0" xfId="0" applyFont="1"/>
    <xf numFmtId="170" fontId="17" fillId="3" borderId="43" xfId="0" applyNumberFormat="1" applyFont="1" applyFill="1" applyBorder="1"/>
    <xf numFmtId="0" fontId="6" fillId="0" borderId="31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 wrapText="1"/>
    </xf>
    <xf numFmtId="164" fontId="6" fillId="3" borderId="14" xfId="1" applyFont="1" applyFill="1" applyBorder="1" applyAlignment="1">
      <alignment horizontal="center" vertical="center" wrapText="1"/>
    </xf>
    <xf numFmtId="1" fontId="17" fillId="3" borderId="14" xfId="0" applyNumberFormat="1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71" fontId="6" fillId="3" borderId="14" xfId="0" applyNumberFormat="1" applyFont="1" applyFill="1" applyBorder="1" applyAlignment="1">
      <alignment horizontal="center" vertical="center" wrapText="1"/>
    </xf>
    <xf numFmtId="1" fontId="6" fillId="3" borderId="38" xfId="0" applyNumberFormat="1" applyFont="1" applyFill="1" applyBorder="1" applyAlignment="1">
      <alignment horizontal="center" vertical="center" wrapText="1"/>
    </xf>
    <xf numFmtId="168" fontId="19" fillId="0" borderId="0" xfId="0" applyNumberFormat="1" applyFont="1" applyAlignment="1">
      <alignment wrapText="1"/>
    </xf>
    <xf numFmtId="172" fontId="6" fillId="3" borderId="38" xfId="0" applyNumberFormat="1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vertical="top" wrapText="1"/>
    </xf>
    <xf numFmtId="172" fontId="6" fillId="3" borderId="38" xfId="1" applyNumberFormat="1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/>
    </xf>
    <xf numFmtId="167" fontId="6" fillId="6" borderId="14" xfId="0" applyNumberFormat="1" applyFont="1" applyFill="1" applyBorder="1"/>
    <xf numFmtId="4" fontId="6" fillId="6" borderId="14" xfId="0" applyNumberFormat="1" applyFont="1" applyFill="1" applyBorder="1"/>
    <xf numFmtId="0" fontId="16" fillId="0" borderId="11" xfId="0" applyFont="1" applyBorder="1" applyAlignment="1">
      <alignment horizontal="center"/>
    </xf>
    <xf numFmtId="4" fontId="6" fillId="3" borderId="43" xfId="0" applyNumberFormat="1" applyFont="1" applyFill="1" applyBorder="1"/>
    <xf numFmtId="0" fontId="6" fillId="0" borderId="12" xfId="0" applyFont="1" applyBorder="1" applyAlignment="1">
      <alignment horizontal="center" vertical="top"/>
    </xf>
    <xf numFmtId="0" fontId="6" fillId="6" borderId="45" xfId="0" applyFont="1" applyFill="1" applyBorder="1" applyAlignment="1">
      <alignment horizontal="center" vertical="center"/>
    </xf>
    <xf numFmtId="1" fontId="6" fillId="3" borderId="46" xfId="0" applyNumberFormat="1" applyFont="1" applyFill="1" applyBorder="1" applyAlignment="1">
      <alignment horizontal="center" vertical="center" wrapText="1"/>
    </xf>
    <xf numFmtId="164" fontId="7" fillId="0" borderId="0" xfId="0" applyNumberFormat="1" applyFont="1"/>
    <xf numFmtId="0" fontId="17" fillId="6" borderId="3" xfId="0" applyFont="1" applyFill="1" applyBorder="1"/>
    <xf numFmtId="0" fontId="6" fillId="6" borderId="28" xfId="0" applyFont="1" applyFill="1" applyBorder="1"/>
    <xf numFmtId="0" fontId="17" fillId="5" borderId="47" xfId="0" applyFont="1" applyFill="1" applyBorder="1" applyAlignment="1">
      <alignment horizontal="center"/>
    </xf>
    <xf numFmtId="173" fontId="20" fillId="0" borderId="11" xfId="0" applyNumberFormat="1" applyFont="1" applyBorder="1" applyAlignment="1">
      <alignment vertical="center"/>
    </xf>
    <xf numFmtId="0" fontId="6" fillId="5" borderId="1" xfId="0" applyFont="1" applyFill="1" applyBorder="1" applyAlignment="1">
      <alignment horizontal="right" vertical="center"/>
    </xf>
    <xf numFmtId="14" fontId="6" fillId="5" borderId="40" xfId="0" applyNumberFormat="1" applyFont="1" applyFill="1" applyBorder="1" applyAlignment="1">
      <alignment horizontal="left" vertical="center"/>
    </xf>
    <xf numFmtId="168" fontId="6" fillId="0" borderId="0" xfId="0" applyNumberFormat="1" applyFont="1" applyAlignment="1">
      <alignment wrapText="1"/>
    </xf>
    <xf numFmtId="0" fontId="6" fillId="0" borderId="48" xfId="0" applyFont="1" applyBorder="1" applyAlignment="1">
      <alignment vertical="top"/>
    </xf>
    <xf numFmtId="0" fontId="6" fillId="0" borderId="49" xfId="0" applyFont="1" applyBorder="1" applyAlignment="1">
      <alignment horizontal="center" vertical="top"/>
    </xf>
    <xf numFmtId="167" fontId="6" fillId="0" borderId="7" xfId="0" applyNumberFormat="1" applyFont="1" applyBorder="1" applyAlignment="1">
      <alignment vertical="top"/>
    </xf>
    <xf numFmtId="4" fontId="6" fillId="0" borderId="7" xfId="0" applyNumberFormat="1" applyFont="1" applyBorder="1" applyAlignment="1">
      <alignment vertical="top"/>
    </xf>
    <xf numFmtId="2" fontId="6" fillId="4" borderId="7" xfId="0" applyNumberFormat="1" applyFont="1" applyFill="1" applyBorder="1" applyAlignment="1">
      <alignment vertical="top"/>
    </xf>
    <xf numFmtId="2" fontId="6" fillId="5" borderId="39" xfId="0" applyNumberFormat="1" applyFont="1" applyFill="1" applyBorder="1" applyAlignment="1">
      <alignment horizontal="right" vertical="top"/>
    </xf>
    <xf numFmtId="0" fontId="6" fillId="3" borderId="20" xfId="0" applyFont="1" applyFill="1" applyBorder="1" applyAlignment="1">
      <alignment vertical="top" wrapText="1"/>
    </xf>
    <xf numFmtId="164" fontId="6" fillId="3" borderId="19" xfId="1" applyFont="1" applyFill="1" applyBorder="1" applyAlignment="1">
      <alignment vertical="top" wrapText="1"/>
    </xf>
    <xf numFmtId="173" fontId="20" fillId="4" borderId="39" xfId="0" applyNumberFormat="1" applyFont="1" applyFill="1" applyBorder="1" applyAlignment="1">
      <alignment vertical="center"/>
    </xf>
    <xf numFmtId="0" fontId="6" fillId="0" borderId="51" xfId="0" applyFont="1" applyBorder="1" applyAlignment="1">
      <alignment vertical="top"/>
    </xf>
    <xf numFmtId="164" fontId="6" fillId="4" borderId="14" xfId="0" applyNumberFormat="1" applyFont="1" applyFill="1" applyBorder="1" applyAlignment="1">
      <alignment vertical="top"/>
    </xf>
    <xf numFmtId="0" fontId="6" fillId="0" borderId="31" xfId="0" applyFont="1" applyBorder="1" applyAlignment="1">
      <alignment horizontal="center" vertical="top"/>
    </xf>
    <xf numFmtId="167" fontId="6" fillId="0" borderId="14" xfId="0" applyNumberFormat="1" applyFont="1" applyBorder="1" applyAlignment="1">
      <alignment vertical="top"/>
    </xf>
    <xf numFmtId="4" fontId="6" fillId="0" borderId="14" xfId="0" applyNumberFormat="1" applyFont="1" applyBorder="1" applyAlignment="1">
      <alignment vertical="top"/>
    </xf>
    <xf numFmtId="2" fontId="6" fillId="4" borderId="14" xfId="0" applyNumberFormat="1" applyFont="1" applyFill="1" applyBorder="1" applyAlignment="1">
      <alignment vertical="top"/>
    </xf>
    <xf numFmtId="2" fontId="6" fillId="5" borderId="38" xfId="0" applyNumberFormat="1" applyFont="1" applyFill="1" applyBorder="1" applyAlignment="1">
      <alignment horizontal="right" vertical="top"/>
    </xf>
    <xf numFmtId="0" fontId="6" fillId="3" borderId="31" xfId="0" applyFont="1" applyFill="1" applyBorder="1" applyAlignment="1">
      <alignment horizontal="center" vertical="top"/>
    </xf>
    <xf numFmtId="173" fontId="20" fillId="4" borderId="38" xfId="0" applyNumberFormat="1" applyFont="1" applyFill="1" applyBorder="1" applyAlignment="1">
      <alignment vertical="center"/>
    </xf>
    <xf numFmtId="0" fontId="6" fillId="0" borderId="36" xfId="0" applyFont="1" applyBorder="1" applyAlignment="1">
      <alignment vertical="top"/>
    </xf>
    <xf numFmtId="164" fontId="6" fillId="9" borderId="14" xfId="0" applyNumberFormat="1" applyFont="1" applyFill="1" applyBorder="1" applyAlignment="1">
      <alignment vertical="top"/>
    </xf>
    <xf numFmtId="0" fontId="6" fillId="3" borderId="5" xfId="0" applyFont="1" applyFill="1" applyBorder="1"/>
    <xf numFmtId="164" fontId="6" fillId="3" borderId="48" xfId="1" applyFont="1" applyFill="1" applyBorder="1"/>
    <xf numFmtId="173" fontId="20" fillId="0" borderId="38" xfId="0" applyNumberFormat="1" applyFont="1" applyBorder="1" applyAlignment="1">
      <alignment vertical="center"/>
    </xf>
    <xf numFmtId="174" fontId="5" fillId="5" borderId="2" xfId="0" applyNumberFormat="1" applyFont="1" applyFill="1" applyBorder="1" applyAlignment="1">
      <alignment wrapText="1"/>
    </xf>
    <xf numFmtId="0" fontId="6" fillId="0" borderId="14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4" fontId="6" fillId="3" borderId="48" xfId="0" applyNumberFormat="1" applyFont="1" applyFill="1" applyBorder="1"/>
    <xf numFmtId="0" fontId="6" fillId="0" borderId="45" xfId="0" applyFont="1" applyBorder="1" applyAlignment="1">
      <alignment horizontal="center" vertical="top"/>
    </xf>
    <xf numFmtId="173" fontId="20" fillId="0" borderId="52" xfId="0" applyNumberFormat="1" applyFont="1" applyBorder="1" applyAlignment="1">
      <alignment vertical="center"/>
    </xf>
    <xf numFmtId="164" fontId="16" fillId="0" borderId="5" xfId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3" fillId="0" borderId="7" xfId="0" applyNumberFormat="1" applyFont="1" applyBorder="1"/>
    <xf numFmtId="164" fontId="23" fillId="0" borderId="39" xfId="0" applyNumberFormat="1" applyFont="1" applyBorder="1"/>
    <xf numFmtId="164" fontId="2" fillId="0" borderId="0" xfId="1" applyFont="1"/>
    <xf numFmtId="0" fontId="6" fillId="0" borderId="53" xfId="0" applyFont="1" applyBorder="1" applyAlignment="1">
      <alignment vertical="top"/>
    </xf>
    <xf numFmtId="164" fontId="6" fillId="0" borderId="54" xfId="0" applyNumberFormat="1" applyFont="1" applyBorder="1" applyAlignment="1">
      <alignment vertical="top"/>
    </xf>
    <xf numFmtId="164" fontId="6" fillId="0" borderId="55" xfId="0" applyNumberFormat="1" applyFont="1" applyBorder="1" applyAlignment="1">
      <alignment vertical="top"/>
    </xf>
    <xf numFmtId="167" fontId="6" fillId="0" borderId="46" xfId="0" applyNumberFormat="1" applyFont="1" applyBorder="1" applyAlignment="1">
      <alignment vertical="top"/>
    </xf>
    <xf numFmtId="4" fontId="6" fillId="0" borderId="46" xfId="0" applyNumberFormat="1" applyFont="1" applyBorder="1" applyAlignment="1">
      <alignment vertical="top"/>
    </xf>
    <xf numFmtId="2" fontId="6" fillId="4" borderId="46" xfId="0" applyNumberFormat="1" applyFont="1" applyFill="1" applyBorder="1" applyAlignment="1">
      <alignment vertical="top"/>
    </xf>
    <xf numFmtId="2" fontId="6" fillId="5" borderId="52" xfId="0" applyNumberFormat="1" applyFont="1" applyFill="1" applyBorder="1" applyAlignment="1">
      <alignment horizontal="right" vertical="top"/>
    </xf>
    <xf numFmtId="4" fontId="6" fillId="3" borderId="11" xfId="0" applyNumberFormat="1" applyFont="1" applyFill="1" applyBorder="1"/>
    <xf numFmtId="0" fontId="6" fillId="0" borderId="56" xfId="0" applyFont="1" applyBorder="1" applyAlignment="1">
      <alignment horizontal="center" vertical="top"/>
    </xf>
    <xf numFmtId="173" fontId="24" fillId="0" borderId="57" xfId="0" applyNumberFormat="1" applyFont="1" applyBorder="1" applyAlignment="1">
      <alignment horizontal="center" vertical="center"/>
    </xf>
    <xf numFmtId="164" fontId="16" fillId="0" borderId="20" xfId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4" fontId="23" fillId="0" borderId="46" xfId="0" applyNumberFormat="1" applyFont="1" applyBorder="1"/>
    <xf numFmtId="164" fontId="23" fillId="0" borderId="23" xfId="0" applyNumberFormat="1" applyFont="1" applyBorder="1"/>
    <xf numFmtId="0" fontId="6" fillId="0" borderId="44" xfId="0" applyFont="1" applyBorder="1" applyAlignment="1">
      <alignment vertical="top"/>
    </xf>
    <xf numFmtId="164" fontId="6" fillId="0" borderId="58" xfId="0" applyNumberFormat="1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6" fillId="0" borderId="18" xfId="0" applyFont="1" applyBorder="1" applyAlignment="1">
      <alignment horizontal="center" vertical="top"/>
    </xf>
    <xf numFmtId="167" fontId="6" fillId="0" borderId="59" xfId="0" applyNumberFormat="1" applyFont="1" applyBorder="1" applyAlignment="1">
      <alignment vertical="top"/>
    </xf>
    <xf numFmtId="2" fontId="6" fillId="0" borderId="59" xfId="0" applyNumberFormat="1" applyFont="1" applyBorder="1" applyAlignment="1">
      <alignment vertical="top"/>
    </xf>
    <xf numFmtId="2" fontId="6" fillId="4" borderId="58" xfId="0" applyNumberFormat="1" applyFont="1" applyFill="1" applyBorder="1" applyAlignment="1">
      <alignment vertical="top"/>
    </xf>
    <xf numFmtId="2" fontId="6" fillId="5" borderId="16" xfId="0" applyNumberFormat="1" applyFont="1" applyFill="1" applyBorder="1" applyAlignment="1">
      <alignment horizontal="right" vertical="top"/>
    </xf>
    <xf numFmtId="0" fontId="6" fillId="0" borderId="34" xfId="0" applyFont="1" applyBorder="1" applyAlignment="1">
      <alignment horizontal="center"/>
    </xf>
    <xf numFmtId="168" fontId="6" fillId="10" borderId="60" xfId="1" applyNumberFormat="1" applyFont="1" applyFill="1" applyBorder="1"/>
    <xf numFmtId="0" fontId="6" fillId="0" borderId="0" xfId="0" applyFont="1"/>
    <xf numFmtId="0" fontId="18" fillId="0" borderId="0" xfId="0" applyFont="1"/>
    <xf numFmtId="164" fontId="18" fillId="0" borderId="0" xfId="1" applyFont="1"/>
    <xf numFmtId="0" fontId="6" fillId="0" borderId="0" xfId="0" applyFont="1" applyAlignment="1">
      <alignment horizontal="center"/>
    </xf>
    <xf numFmtId="176" fontId="10" fillId="0" borderId="0" xfId="0" applyNumberFormat="1" applyFont="1"/>
    <xf numFmtId="0" fontId="10" fillId="0" borderId="0" xfId="0" applyFont="1"/>
    <xf numFmtId="43" fontId="3" fillId="0" borderId="0" xfId="0" applyNumberFormat="1" applyFont="1"/>
    <xf numFmtId="0" fontId="6" fillId="0" borderId="0" xfId="0" applyFont="1" applyAlignment="1">
      <alignment horizontal="right"/>
    </xf>
    <xf numFmtId="164" fontId="10" fillId="0" borderId="0" xfId="1" applyFont="1"/>
    <xf numFmtId="164" fontId="6" fillId="0" borderId="0" xfId="1" applyFont="1" applyAlignment="1">
      <alignment horizontal="center"/>
    </xf>
    <xf numFmtId="164" fontId="10" fillId="4" borderId="0" xfId="1" applyFont="1" applyFill="1"/>
    <xf numFmtId="2" fontId="10" fillId="0" borderId="0" xfId="0" applyNumberFormat="1" applyFont="1"/>
    <xf numFmtId="0" fontId="10" fillId="0" borderId="49" xfId="0" applyFont="1" applyBorder="1" applyAlignment="1">
      <alignment horizontal="right"/>
    </xf>
    <xf numFmtId="49" fontId="26" fillId="4" borderId="7" xfId="2" applyNumberFormat="1" applyFill="1" applyBorder="1" applyAlignment="1">
      <alignment horizontal="center"/>
    </xf>
    <xf numFmtId="0" fontId="10" fillId="0" borderId="7" xfId="0" applyFont="1" applyBorder="1"/>
    <xf numFmtId="164" fontId="10" fillId="0" borderId="7" xfId="1" applyFont="1" applyBorder="1"/>
    <xf numFmtId="0" fontId="10" fillId="0" borderId="39" xfId="0" applyFont="1" applyBorder="1"/>
    <xf numFmtId="177" fontId="10" fillId="0" borderId="0" xfId="0" applyNumberFormat="1" applyFont="1"/>
    <xf numFmtId="168" fontId="27" fillId="0" borderId="0" xfId="0" applyNumberFormat="1" applyFont="1"/>
    <xf numFmtId="164" fontId="23" fillId="0" borderId="0" xfId="1" applyFont="1"/>
    <xf numFmtId="0" fontId="10" fillId="0" borderId="31" xfId="0" applyFont="1" applyBorder="1" applyAlignment="1">
      <alignment horizontal="right"/>
    </xf>
    <xf numFmtId="164" fontId="10" fillId="0" borderId="14" xfId="1" applyFont="1" applyBorder="1"/>
    <xf numFmtId="0" fontId="10" fillId="0" borderId="14" xfId="0" applyFont="1" applyBorder="1"/>
    <xf numFmtId="2" fontId="10" fillId="0" borderId="14" xfId="0" applyNumberFormat="1" applyFont="1" applyBorder="1"/>
    <xf numFmtId="0" fontId="10" fillId="0" borderId="38" xfId="0" applyFont="1" applyBorder="1"/>
    <xf numFmtId="168" fontId="10" fillId="0" borderId="0" xfId="0" applyNumberFormat="1" applyFont="1"/>
    <xf numFmtId="169" fontId="7" fillId="0" borderId="0" xfId="0" applyNumberFormat="1" applyFont="1"/>
    <xf numFmtId="0" fontId="7" fillId="0" borderId="31" xfId="0" applyFont="1" applyBorder="1"/>
    <xf numFmtId="0" fontId="7" fillId="0" borderId="14" xfId="0" applyFont="1" applyBorder="1"/>
    <xf numFmtId="0" fontId="7" fillId="0" borderId="38" xfId="0" applyFont="1" applyBorder="1"/>
    <xf numFmtId="164" fontId="7" fillId="0" borderId="0" xfId="1" applyFont="1"/>
    <xf numFmtId="164" fontId="10" fillId="5" borderId="31" xfId="1" applyFont="1" applyFill="1" applyBorder="1" applyAlignment="1">
      <alignment horizontal="right"/>
    </xf>
    <xf numFmtId="164" fontId="10" fillId="5" borderId="14" xfId="1" applyFont="1" applyFill="1" applyBorder="1"/>
    <xf numFmtId="178" fontId="10" fillId="5" borderId="14" xfId="1" applyNumberFormat="1" applyFont="1" applyFill="1" applyBorder="1"/>
    <xf numFmtId="0" fontId="10" fillId="5" borderId="14" xfId="1" applyNumberFormat="1" applyFont="1" applyFill="1" applyBorder="1"/>
    <xf numFmtId="164" fontId="28" fillId="5" borderId="38" xfId="1" applyFont="1" applyFill="1" applyBorder="1"/>
    <xf numFmtId="164" fontId="29" fillId="0" borderId="0" xfId="0" applyNumberFormat="1" applyFont="1" applyAlignment="1">
      <alignment horizontal="left" vertical="center"/>
    </xf>
    <xf numFmtId="43" fontId="7" fillId="0" borderId="0" xfId="0" applyNumberFormat="1" applyFont="1"/>
    <xf numFmtId="43" fontId="6" fillId="0" borderId="31" xfId="0" applyNumberFormat="1" applyFont="1" applyBorder="1"/>
    <xf numFmtId="179" fontId="10" fillId="0" borderId="14" xfId="1" applyNumberFormat="1" applyFont="1" applyBorder="1"/>
    <xf numFmtId="164" fontId="10" fillId="0" borderId="38" xfId="1" applyFont="1" applyBorder="1"/>
    <xf numFmtId="4" fontId="16" fillId="0" borderId="61" xfId="0" applyNumberFormat="1" applyFont="1" applyBorder="1"/>
    <xf numFmtId="176" fontId="16" fillId="0" borderId="61" xfId="0" applyNumberFormat="1" applyFont="1" applyBorder="1"/>
    <xf numFmtId="164" fontId="30" fillId="0" borderId="0" xfId="1" applyFont="1"/>
    <xf numFmtId="2" fontId="6" fillId="0" borderId="45" xfId="0" applyNumberFormat="1" applyFont="1" applyBorder="1"/>
    <xf numFmtId="0" fontId="7" fillId="0" borderId="46" xfId="0" applyFont="1" applyBorder="1"/>
    <xf numFmtId="164" fontId="10" fillId="0" borderId="46" xfId="1" applyFont="1" applyBorder="1"/>
    <xf numFmtId="179" fontId="10" fillId="0" borderId="46" xfId="1" applyNumberFormat="1" applyFont="1" applyBorder="1"/>
    <xf numFmtId="2" fontId="7" fillId="5" borderId="52" xfId="0" applyNumberFormat="1" applyFont="1" applyFill="1" applyBorder="1"/>
    <xf numFmtId="4" fontId="30" fillId="0" borderId="0" xfId="0" applyNumberFormat="1" applyFont="1"/>
    <xf numFmtId="168" fontId="7" fillId="0" borderId="0" xfId="0" applyNumberFormat="1" applyFont="1"/>
    <xf numFmtId="4" fontId="10" fillId="0" borderId="0" xfId="0" applyNumberFormat="1" applyFont="1"/>
    <xf numFmtId="175" fontId="7" fillId="0" borderId="0" xfId="0" applyNumberFormat="1" applyFont="1"/>
    <xf numFmtId="0" fontId="31" fillId="0" borderId="0" xfId="0" applyFont="1"/>
    <xf numFmtId="164" fontId="32" fillId="0" borderId="0" xfId="1" applyFont="1"/>
    <xf numFmtId="169" fontId="31" fillId="0" borderId="0" xfId="0" applyNumberFormat="1" applyFont="1"/>
    <xf numFmtId="0" fontId="33" fillId="0" borderId="0" xfId="0" applyFont="1"/>
    <xf numFmtId="2" fontId="33" fillId="0" borderId="0" xfId="0" applyNumberFormat="1" applyFont="1"/>
    <xf numFmtId="180" fontId="33" fillId="0" borderId="0" xfId="0" applyNumberFormat="1" applyFont="1"/>
    <xf numFmtId="164" fontId="31" fillId="0" borderId="0" xfId="1" applyFont="1" applyFill="1"/>
    <xf numFmtId="179" fontId="31" fillId="0" borderId="0" xfId="0" applyNumberFormat="1" applyFont="1"/>
    <xf numFmtId="164" fontId="31" fillId="0" borderId="0" xfId="0" applyNumberFormat="1" applyFont="1"/>
    <xf numFmtId="0" fontId="34" fillId="0" borderId="0" xfId="0" applyFont="1"/>
    <xf numFmtId="0" fontId="8" fillId="0" borderId="0" xfId="0" applyFont="1"/>
    <xf numFmtId="164" fontId="35" fillId="0" borderId="0" xfId="1" applyFont="1" applyFill="1"/>
    <xf numFmtId="164" fontId="36" fillId="0" borderId="0" xfId="1" applyFont="1" applyFill="1"/>
    <xf numFmtId="0" fontId="35" fillId="0" borderId="0" xfId="0" applyFont="1"/>
    <xf numFmtId="164" fontId="36" fillId="0" borderId="0" xfId="1" applyFont="1"/>
    <xf numFmtId="43" fontId="35" fillId="0" borderId="0" xfId="0" applyNumberFormat="1" applyFont="1"/>
    <xf numFmtId="0" fontId="8" fillId="0" borderId="0" xfId="0" applyFont="1" applyAlignment="1">
      <alignment horizontal="right"/>
    </xf>
    <xf numFmtId="0" fontId="37" fillId="0" borderId="0" xfId="0" applyFont="1"/>
    <xf numFmtId="4" fontId="15" fillId="0" borderId="0" xfId="0" applyNumberFormat="1" applyFont="1"/>
    <xf numFmtId="0" fontId="3" fillId="0" borderId="0" xfId="0" applyFont="1"/>
    <xf numFmtId="179" fontId="7" fillId="0" borderId="0" xfId="0" applyNumberFormat="1" applyFont="1"/>
    <xf numFmtId="43" fontId="37" fillId="0" borderId="0" xfId="0" applyNumberFormat="1" applyFont="1"/>
    <xf numFmtId="164" fontId="37" fillId="0" borderId="0" xfId="1" applyFont="1"/>
    <xf numFmtId="4" fontId="21" fillId="0" borderId="0" xfId="0" applyNumberFormat="1" applyFont="1"/>
    <xf numFmtId="43" fontId="38" fillId="0" borderId="0" xfId="0" applyNumberFormat="1" applyFont="1"/>
    <xf numFmtId="0" fontId="38" fillId="0" borderId="0" xfId="0" applyFont="1"/>
    <xf numFmtId="43" fontId="4" fillId="0" borderId="0" xfId="0" applyNumberFormat="1" applyFont="1"/>
    <xf numFmtId="164" fontId="38" fillId="0" borderId="0" xfId="1" applyFont="1" applyFill="1"/>
    <xf numFmtId="16" fontId="7" fillId="0" borderId="0" xfId="0" applyNumberFormat="1" applyFont="1"/>
    <xf numFmtId="164" fontId="7" fillId="0" borderId="0" xfId="1" applyFont="1" applyFill="1"/>
    <xf numFmtId="16" fontId="7" fillId="0" borderId="0" xfId="0" applyNumberFormat="1" applyFont="1" applyAlignment="1">
      <alignment wrapText="1"/>
    </xf>
    <xf numFmtId="164" fontId="7" fillId="0" borderId="17" xfId="1" applyFont="1" applyFill="1" applyBorder="1"/>
    <xf numFmtId="164" fontId="7" fillId="0" borderId="0" xfId="1" applyFont="1" applyFill="1" applyBorder="1"/>
    <xf numFmtId="0" fontId="7" fillId="0" borderId="17" xfId="0" applyFont="1" applyBorder="1"/>
    <xf numFmtId="164" fontId="6" fillId="0" borderId="31" xfId="1" applyFont="1" applyBorder="1"/>
    <xf numFmtId="164" fontId="6" fillId="0" borderId="45" xfId="1" applyFont="1" applyBorder="1"/>
    <xf numFmtId="164" fontId="6" fillId="0" borderId="0" xfId="1" applyFont="1"/>
    <xf numFmtId="173" fontId="20" fillId="4" borderId="52" xfId="0" applyNumberFormat="1" applyFont="1" applyFill="1" applyBorder="1" applyAlignment="1">
      <alignment vertic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21" fillId="3" borderId="50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14" fontId="22" fillId="5" borderId="25" xfId="0" applyNumberFormat="1" applyFont="1" applyFill="1" applyBorder="1" applyAlignment="1">
      <alignment horizontal="right" wrapText="1"/>
    </xf>
    <xf numFmtId="164" fontId="18" fillId="5" borderId="25" xfId="0" applyNumberFormat="1" applyFont="1" applyFill="1" applyBorder="1" applyAlignment="1">
      <alignment horizontal="center"/>
    </xf>
    <xf numFmtId="164" fontId="18" fillId="5" borderId="26" xfId="0" applyNumberFormat="1" applyFont="1" applyFill="1" applyBorder="1" applyAlignment="1">
      <alignment horizontal="center"/>
    </xf>
    <xf numFmtId="175" fontId="25" fillId="0" borderId="24" xfId="0" applyNumberFormat="1" applyFont="1" applyBorder="1" applyAlignment="1">
      <alignment horizontal="center"/>
    </xf>
    <xf numFmtId="175" fontId="25" fillId="0" borderId="26" xfId="0" applyNumberFormat="1" applyFont="1" applyBorder="1" applyAlignment="1">
      <alignment horizontal="center"/>
    </xf>
    <xf numFmtId="0" fontId="6" fillId="3" borderId="36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0" borderId="3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6" borderId="3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center" vertical="center" wrapText="1" readingOrder="1"/>
    </xf>
    <xf numFmtId="0" fontId="6" fillId="7" borderId="24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18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6" fillId="0" borderId="36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top" wrapText="1"/>
    </xf>
    <xf numFmtId="0" fontId="17" fillId="0" borderId="26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40" xfId="0" applyFont="1" applyBorder="1" applyAlignment="1">
      <alignment horizontal="left" vertical="top" wrapText="1"/>
    </xf>
    <xf numFmtId="0" fontId="6" fillId="5" borderId="36" xfId="0" applyFont="1" applyFill="1" applyBorder="1" applyAlignment="1">
      <alignment horizontal="center" vertical="top" wrapText="1"/>
    </xf>
    <xf numFmtId="0" fontId="6" fillId="5" borderId="12" xfId="0" applyFont="1" applyFill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26" xfId="0" applyFont="1" applyBorder="1" applyAlignment="1">
      <alignment horizontal="center" vertical="top" wrapText="1"/>
    </xf>
    <xf numFmtId="0" fontId="6" fillId="5" borderId="3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167" fontId="6" fillId="0" borderId="24" xfId="0" applyNumberFormat="1" applyFont="1" applyBorder="1" applyAlignment="1">
      <alignment horizontal="center" vertical="center" wrapText="1"/>
    </xf>
    <xf numFmtId="167" fontId="6" fillId="0" borderId="25" xfId="0" applyNumberFormat="1" applyFont="1" applyBorder="1" applyAlignment="1">
      <alignment horizontal="center" vertical="center" wrapText="1"/>
    </xf>
    <xf numFmtId="167" fontId="6" fillId="0" borderId="26" xfId="0" applyNumberFormat="1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top" wrapText="1"/>
    </xf>
    <xf numFmtId="14" fontId="8" fillId="0" borderId="26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14" fontId="6" fillId="2" borderId="11" xfId="0" applyNumberFormat="1" applyFont="1" applyFill="1" applyBorder="1" applyAlignment="1">
      <alignment horizontal="center" vertical="top" wrapText="1"/>
    </xf>
    <xf numFmtId="14" fontId="6" fillId="2" borderId="15" xfId="0" applyNumberFormat="1" applyFont="1" applyFill="1" applyBorder="1" applyAlignment="1">
      <alignment horizontal="center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6" fillId="2" borderId="21" xfId="0" applyFont="1" applyFill="1" applyBorder="1" applyAlignment="1">
      <alignment horizontal="left" vertical="top" wrapText="1"/>
    </xf>
    <xf numFmtId="1" fontId="6" fillId="2" borderId="19" xfId="0" applyNumberFormat="1" applyFont="1" applyFill="1" applyBorder="1" applyAlignment="1">
      <alignment horizontal="center" vertical="top" wrapText="1"/>
    </xf>
    <xf numFmtId="1" fontId="6" fillId="2" borderId="23" xfId="0" applyNumberFormat="1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43" fillId="0" borderId="29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43" fillId="0" borderId="30" xfId="0" applyFont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be4c1509e36c0a/PETROAMERICA%20-%20SOLER/SOLER/2025/03.-%20MARZO/FEBRERO/38.-%20SOLER%20-%20DIARIO%20-%20FEBRERO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be4c1509e36c0a/SOLER/38.-%20SOLER%20-%20DIARIO%20-%20SEPTIEMBRE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be4c1509e36c0a/SOLER/38.-%20SOLER%20-%20DIARIO%20-%20OCTUBRE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</sheetNames>
    <sheetDataSet>
      <sheetData sheetId="0" refreshError="1"/>
      <sheetData sheetId="1" refreshError="1"/>
      <sheetData sheetId="2">
        <row r="25">
          <cell r="J25">
            <v>4101.5004099999996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1">
          <cell r="J41">
            <v>104.16</v>
          </cell>
        </row>
      </sheetData>
      <sheetData sheetId="25" refreshError="1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L2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>
        <row r="25">
          <cell r="J25">
            <v>3671.4904099999999</v>
          </cell>
        </row>
        <row r="30">
          <cell r="J30">
            <v>2860.0556350000002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tabSelected="1" zoomScale="90" zoomScaleNormal="90" workbookViewId="0">
      <selection activeCell="K2" sqref="K2:M2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45717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60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362" t="s">
        <v>16</v>
      </c>
      <c r="B6" s="15" t="s">
        <v>17</v>
      </c>
      <c r="C6" s="363" t="s">
        <v>18</v>
      </c>
      <c r="D6" s="363" t="s">
        <v>19</v>
      </c>
      <c r="E6" s="16" t="s">
        <v>20</v>
      </c>
      <c r="F6" s="16" t="s">
        <v>21</v>
      </c>
      <c r="G6" s="363" t="s">
        <v>22</v>
      </c>
      <c r="H6" s="16" t="s">
        <v>19</v>
      </c>
      <c r="I6" s="16" t="s">
        <v>20</v>
      </c>
      <c r="J6" s="16" t="s">
        <v>23</v>
      </c>
      <c r="K6" s="364" t="s">
        <v>199</v>
      </c>
      <c r="L6" s="363" t="s">
        <v>198</v>
      </c>
      <c r="M6" s="363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v>3049.0545116363978</v>
      </c>
      <c r="C7" s="22">
        <f>L26+L27</f>
        <v>0</v>
      </c>
      <c r="D7" s="23"/>
      <c r="E7" s="23"/>
      <c r="F7" s="24">
        <f t="shared" ref="F7:F10" si="0">+B7+C7+D7+E7</f>
        <v>3049.0545116363978</v>
      </c>
      <c r="G7" s="25">
        <f>B46-H7</f>
        <v>291.36448598130841</v>
      </c>
      <c r="H7" s="22"/>
      <c r="I7" s="26"/>
      <c r="J7" s="21">
        <f t="shared" ref="J7:J10" si="1">+G7+H7+I7</f>
        <v>291.36448598130841</v>
      </c>
      <c r="K7" s="21">
        <f t="shared" ref="K7:K10" si="2">+F7-J7</f>
        <v>2757.6900256550894</v>
      </c>
      <c r="L7" s="27">
        <v>3049.0545116363978</v>
      </c>
      <c r="M7" s="28">
        <v>2757.6900256550894</v>
      </c>
      <c r="N7" s="24">
        <f t="shared" ref="N7:N10" si="3">+G7</f>
        <v>291.36448598130841</v>
      </c>
      <c r="O7" s="24">
        <f>+C46</f>
        <v>7.49</v>
      </c>
      <c r="P7" s="29">
        <f t="shared" ref="P7:P10" si="4">+N7*O7</f>
        <v>2182.3200000000002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v>1455</v>
      </c>
      <c r="C8" s="22">
        <f>L28</f>
        <v>0</v>
      </c>
      <c r="D8" s="33"/>
      <c r="E8" s="23"/>
      <c r="F8" s="24">
        <f t="shared" si="0"/>
        <v>1455</v>
      </c>
      <c r="G8" s="25">
        <f>+B42-H8</f>
        <v>73.742261528742887</v>
      </c>
      <c r="H8" s="22"/>
      <c r="I8" s="26"/>
      <c r="J8" s="21">
        <f t="shared" si="1"/>
        <v>73.742261528742887</v>
      </c>
      <c r="K8" s="21">
        <f t="shared" si="2"/>
        <v>1381.2577384712572</v>
      </c>
      <c r="L8" s="27">
        <v>1455</v>
      </c>
      <c r="M8" s="28">
        <v>1380</v>
      </c>
      <c r="N8" s="24">
        <f t="shared" si="3"/>
        <v>73.742261528742887</v>
      </c>
      <c r="O8" s="24">
        <f>+C42</f>
        <v>15.83</v>
      </c>
      <c r="P8" s="29">
        <f t="shared" si="4"/>
        <v>1167.3399999999999</v>
      </c>
      <c r="Q8" s="30">
        <f t="shared" si="5"/>
        <v>-1.2577384712571984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v>1025</v>
      </c>
      <c r="C9" s="22">
        <f>L29</f>
        <v>0</v>
      </c>
      <c r="D9" s="33"/>
      <c r="E9" s="23"/>
      <c r="F9" s="24">
        <f t="shared" si="0"/>
        <v>1025</v>
      </c>
      <c r="G9" s="25">
        <f>+B43-H9</f>
        <v>216.84274193548384</v>
      </c>
      <c r="H9" s="22"/>
      <c r="I9" s="26"/>
      <c r="J9" s="21">
        <f t="shared" si="1"/>
        <v>216.84274193548384</v>
      </c>
      <c r="K9" s="21">
        <f t="shared" si="2"/>
        <v>808.1572580645161</v>
      </c>
      <c r="L9" s="27">
        <v>1025</v>
      </c>
      <c r="M9" s="28">
        <v>808</v>
      </c>
      <c r="N9" s="24">
        <f t="shared" si="3"/>
        <v>216.84274193548384</v>
      </c>
      <c r="O9" s="24">
        <f>+C43</f>
        <v>14.88</v>
      </c>
      <c r="P9" s="29">
        <f t="shared" si="4"/>
        <v>3226.62</v>
      </c>
      <c r="Q9" s="30">
        <f t="shared" si="5"/>
        <v>-0.15725806451609969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v>1480</v>
      </c>
      <c r="C10" s="40">
        <f>L31</f>
        <v>0</v>
      </c>
      <c r="D10" s="41"/>
      <c r="E10" s="42"/>
      <c r="F10" s="24">
        <f t="shared" si="0"/>
        <v>1480</v>
      </c>
      <c r="G10" s="43">
        <f>+B45-H10</f>
        <v>81.184262295081965</v>
      </c>
      <c r="H10" s="40"/>
      <c r="I10" s="26"/>
      <c r="J10" s="44">
        <f t="shared" si="1"/>
        <v>81.184262295081965</v>
      </c>
      <c r="K10" s="44">
        <f t="shared" si="2"/>
        <v>1398.8157377049181</v>
      </c>
      <c r="L10" s="27">
        <v>1480</v>
      </c>
      <c r="M10" s="28">
        <v>1399</v>
      </c>
      <c r="N10" s="42">
        <f t="shared" si="3"/>
        <v>81.184262295081965</v>
      </c>
      <c r="O10" s="42">
        <f>+C45</f>
        <v>15.25</v>
      </c>
      <c r="P10" s="45">
        <f t="shared" si="4"/>
        <v>1238.06</v>
      </c>
      <c r="Q10" s="30">
        <f t="shared" si="5"/>
        <v>0.18426229508190772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7009.0545116363974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7009.0545116363974</v>
      </c>
      <c r="G11" s="21">
        <f t="shared" si="6"/>
        <v>663.13375174061707</v>
      </c>
      <c r="H11" s="21">
        <f t="shared" si="6"/>
        <v>0</v>
      </c>
      <c r="I11" s="21">
        <f t="shared" si="6"/>
        <v>0</v>
      </c>
      <c r="J11" s="21">
        <f t="shared" si="6"/>
        <v>663.13375174061707</v>
      </c>
      <c r="K11" s="21">
        <f t="shared" si="6"/>
        <v>6345.920759895781</v>
      </c>
      <c r="L11" s="27">
        <f t="shared" si="6"/>
        <v>7009.0545116363974</v>
      </c>
      <c r="M11" s="21">
        <f t="shared" si="6"/>
        <v>6344.6900256550889</v>
      </c>
      <c r="N11" s="21">
        <f t="shared" si="6"/>
        <v>663.13375174061707</v>
      </c>
      <c r="O11" s="21"/>
      <c r="P11" s="21">
        <f>SUM(P7:P10)</f>
        <v>7814.34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663.13375174061707</v>
      </c>
      <c r="P14" s="65">
        <f>+P11</f>
        <v>7814.34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137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2350.06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776.11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9.0000000000145519E-2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78.459999999999994</v>
      </c>
      <c r="K20" s="76" t="s">
        <v>67</v>
      </c>
      <c r="L20" s="73">
        <f>+E24*(O10-F24)+E25*(O8-F25)+E26*(O9-F26)+E27*(O7-F27)</f>
        <v>224.02</v>
      </c>
      <c r="M20" s="288" t="s">
        <v>68</v>
      </c>
      <c r="N20" s="289"/>
      <c r="O20" s="290"/>
      <c r="P20" s="77">
        <f>+L20</f>
        <v>224.02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>
        <v>224.02</v>
      </c>
      <c r="M22" s="288" t="s">
        <v>74</v>
      </c>
      <c r="N22" s="289"/>
      <c r="O22" s="290"/>
      <c r="P22" s="77">
        <f>+J37+J20+J26+J31+J32</f>
        <v>78.459999999999994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4179.9604099999997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4381.6000000000004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>
        <f>224.02/15.25</f>
        <v>14.689836065573772</v>
      </c>
      <c r="F24" s="60">
        <v>0</v>
      </c>
      <c r="G24" s="61">
        <f t="shared" si="7"/>
        <v>0</v>
      </c>
      <c r="H24" s="71" t="s">
        <v>138</v>
      </c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1.2577384712571984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89</v>
      </c>
      <c r="P29" s="100">
        <f>6258.25/500</f>
        <v>12.516500000000001</v>
      </c>
      <c r="Q29" s="97">
        <f>+O9-P29</f>
        <v>2.3635000000000002</v>
      </c>
      <c r="S29" s="48">
        <f>+Q9*-1</f>
        <v>0.15725806451609969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v>-150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91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-0.18426229508190772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45717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-150</v>
      </c>
      <c r="K34" s="118" t="s">
        <v>56</v>
      </c>
      <c r="L34" s="125">
        <v>2975.4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1855.06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1406.2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495</v>
      </c>
      <c r="C36" s="136">
        <v>776.11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+'[1]25'!J41</f>
        <v>104.16</v>
      </c>
      <c r="K36" s="128" t="s">
        <v>111</v>
      </c>
      <c r="L36" s="139"/>
      <c r="M36" s="281" t="s">
        <v>112</v>
      </c>
      <c r="N36" s="281"/>
      <c r="O36" s="140">
        <f>+L33</f>
        <v>45717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2975.4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2350.06</v>
      </c>
      <c r="C38" s="153">
        <f>SUM(C35:C37)</f>
        <v>776.11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4381.6000000000004</v>
      </c>
      <c r="M38" s="161" t="s">
        <v>27</v>
      </c>
      <c r="N38" s="162" t="s">
        <v>116</v>
      </c>
      <c r="O38" s="163">
        <f>+L35</f>
        <v>1406.2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3126.17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104.16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4381.6000000000004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0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73.742261528742887</v>
      </c>
      <c r="C42" s="184">
        <v>15.83</v>
      </c>
      <c r="D42" s="185">
        <v>1167.3399999999999</v>
      </c>
      <c r="E42" s="186"/>
      <c r="F42" s="186"/>
      <c r="G42" s="186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216.84274193548384</v>
      </c>
      <c r="C43" s="184">
        <v>14.88</v>
      </c>
      <c r="D43" s="185">
        <v>3226.62</v>
      </c>
      <c r="E43" s="186"/>
      <c r="F43" s="186"/>
      <c r="G43" s="186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6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81.184262295081965</v>
      </c>
      <c r="C45" s="184">
        <v>15.25</v>
      </c>
      <c r="D45" s="185">
        <v>1238.06</v>
      </c>
      <c r="E45" s="186"/>
      <c r="F45" s="186"/>
      <c r="G45" s="186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291.36448598130841</v>
      </c>
      <c r="C46" s="184">
        <v>7.49</v>
      </c>
      <c r="D46" s="185">
        <v>2182.3200000000002</v>
      </c>
      <c r="E46" s="186"/>
      <c r="F46" s="186"/>
      <c r="G46" s="212"/>
      <c r="H46" s="213">
        <f>(L34+B38+P21+P22+P20+L36)-SUM(D42:D45)+(P18+P19)</f>
        <v>-7.999999999992724E-2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663.13375174061707</v>
      </c>
      <c r="C47" s="216"/>
      <c r="D47" s="217">
        <f>SUM(D42:D46)</f>
        <v>7814.34</v>
      </c>
      <c r="E47" s="217">
        <v>7814.34</v>
      </c>
      <c r="F47" s="186"/>
      <c r="G47" s="218"/>
      <c r="H47" s="219">
        <f>(C36+L35+L37)-D46</f>
        <v>-1.0000000000218279E-2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224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226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224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224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2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224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24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24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24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24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24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24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24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24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45726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69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+'09-03-2025'!K7</f>
        <v>1842.2401638461154</v>
      </c>
      <c r="C7" s="22">
        <f>L26+L27</f>
        <v>1421.8479068615309</v>
      </c>
      <c r="D7" s="23"/>
      <c r="E7" s="23"/>
      <c r="F7" s="24">
        <f t="shared" ref="F7:F10" si="0">+B7+C7+D7+E7</f>
        <v>3264.0880707076462</v>
      </c>
      <c r="G7" s="25">
        <f>B46-H7</f>
        <v>297.22563417890518</v>
      </c>
      <c r="H7" s="22"/>
      <c r="I7" s="26"/>
      <c r="J7" s="21">
        <f t="shared" ref="J7:J10" si="1">+G7+H7+I7</f>
        <v>297.22563417890518</v>
      </c>
      <c r="K7" s="21">
        <f t="shared" ref="K7:K10" si="2">+F7-J7</f>
        <v>2966.862436528741</v>
      </c>
      <c r="L7" s="27">
        <f>+'09-03-2025'!M7</f>
        <v>1842.2401638461154</v>
      </c>
      <c r="M7" s="28">
        <v>2966.862436528741</v>
      </c>
      <c r="N7" s="24">
        <f t="shared" ref="N7:N10" si="3">+G7</f>
        <v>297.22563417890518</v>
      </c>
      <c r="O7" s="24">
        <f>+C46</f>
        <v>7.49</v>
      </c>
      <c r="P7" s="29">
        <f t="shared" ref="P7:P10" si="4">+N7*O7</f>
        <v>2226.2199999999998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+'09-03-2025'!K8</f>
        <v>618.77447883764989</v>
      </c>
      <c r="C8" s="22">
        <f>L28</f>
        <v>0</v>
      </c>
      <c r="D8" s="33"/>
      <c r="E8" s="23"/>
      <c r="F8" s="24">
        <f t="shared" si="0"/>
        <v>618.77447883764989</v>
      </c>
      <c r="G8" s="25">
        <f>+B42-H8</f>
        <v>101.58622867972204</v>
      </c>
      <c r="H8" s="22"/>
      <c r="I8" s="26"/>
      <c r="J8" s="21">
        <f t="shared" si="1"/>
        <v>101.58622867972204</v>
      </c>
      <c r="K8" s="21">
        <f t="shared" si="2"/>
        <v>517.18825015792788</v>
      </c>
      <c r="L8" s="27">
        <f>+'09-03-2025'!M8</f>
        <v>610</v>
      </c>
      <c r="M8" s="28">
        <v>510</v>
      </c>
      <c r="N8" s="24">
        <f t="shared" si="3"/>
        <v>101.58622867972204</v>
      </c>
      <c r="O8" s="24">
        <f>+C42</f>
        <v>15.83</v>
      </c>
      <c r="P8" s="29">
        <f t="shared" si="4"/>
        <v>1608.11</v>
      </c>
      <c r="Q8" s="30">
        <f t="shared" si="5"/>
        <v>-7.1882501579278824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+'09-03-2025'!K9</f>
        <v>1195.0248655913979</v>
      </c>
      <c r="C9" s="22">
        <f>L29</f>
        <v>0</v>
      </c>
      <c r="D9" s="33"/>
      <c r="E9" s="23"/>
      <c r="F9" s="24">
        <f t="shared" si="0"/>
        <v>1195.0248655913979</v>
      </c>
      <c r="G9" s="25">
        <f>+B43-H9</f>
        <v>177.86693548387095</v>
      </c>
      <c r="H9" s="22"/>
      <c r="I9" s="26"/>
      <c r="J9" s="21">
        <f t="shared" si="1"/>
        <v>177.86693548387095</v>
      </c>
      <c r="K9" s="21">
        <f t="shared" si="2"/>
        <v>1017.1579301075269</v>
      </c>
      <c r="L9" s="27">
        <f>+'09-03-2025'!M9</f>
        <v>1190</v>
      </c>
      <c r="M9" s="28">
        <v>1010</v>
      </c>
      <c r="N9" s="24">
        <f t="shared" si="3"/>
        <v>177.86693548387095</v>
      </c>
      <c r="O9" s="24">
        <f>+C43</f>
        <v>14.88</v>
      </c>
      <c r="P9" s="29">
        <f t="shared" si="4"/>
        <v>2646.66</v>
      </c>
      <c r="Q9" s="30">
        <f t="shared" si="5"/>
        <v>-7.1579301075269086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+'09-03-2025'!K10</f>
        <v>1843.5547540983605</v>
      </c>
      <c r="C10" s="40">
        <f>L31</f>
        <v>0</v>
      </c>
      <c r="D10" s="41"/>
      <c r="E10" s="42"/>
      <c r="F10" s="24">
        <f t="shared" si="0"/>
        <v>1843.5547540983605</v>
      </c>
      <c r="G10" s="43">
        <f>+B45-H10</f>
        <v>241.52655737704919</v>
      </c>
      <c r="H10" s="40"/>
      <c r="I10" s="26"/>
      <c r="J10" s="44">
        <f t="shared" si="1"/>
        <v>241.52655737704919</v>
      </c>
      <c r="K10" s="44">
        <f t="shared" si="2"/>
        <v>1602.0281967213114</v>
      </c>
      <c r="L10" s="27">
        <f>+'09-03-2025'!M10</f>
        <v>1845</v>
      </c>
      <c r="M10" s="28">
        <v>1605</v>
      </c>
      <c r="N10" s="42">
        <f t="shared" si="3"/>
        <v>241.52655737704919</v>
      </c>
      <c r="O10" s="42">
        <f>+C45</f>
        <v>15.25</v>
      </c>
      <c r="P10" s="45">
        <f t="shared" si="4"/>
        <v>3683.28</v>
      </c>
      <c r="Q10" s="30">
        <f t="shared" si="5"/>
        <v>2.9718032786886397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5499.5942623735236</v>
      </c>
      <c r="C11" s="21">
        <f t="shared" si="6"/>
        <v>1421.8479068615309</v>
      </c>
      <c r="D11" s="21">
        <f t="shared" si="6"/>
        <v>0</v>
      </c>
      <c r="E11" s="21">
        <f t="shared" si="6"/>
        <v>0</v>
      </c>
      <c r="F11" s="21">
        <f t="shared" si="6"/>
        <v>6921.4421692350552</v>
      </c>
      <c r="G11" s="21">
        <f t="shared" si="6"/>
        <v>818.20535571954747</v>
      </c>
      <c r="H11" s="21">
        <f t="shared" si="6"/>
        <v>0</v>
      </c>
      <c r="I11" s="21">
        <f t="shared" si="6"/>
        <v>0</v>
      </c>
      <c r="J11" s="21">
        <f t="shared" si="6"/>
        <v>818.20535571954747</v>
      </c>
      <c r="K11" s="21">
        <f t="shared" si="6"/>
        <v>6103.2368135155075</v>
      </c>
      <c r="L11" s="27">
        <f t="shared" si="6"/>
        <v>5487.2401638461151</v>
      </c>
      <c r="M11" s="21">
        <f t="shared" si="6"/>
        <v>6091.8624365287415</v>
      </c>
      <c r="N11" s="21">
        <f t="shared" si="6"/>
        <v>818.20535571954747</v>
      </c>
      <c r="O11" s="21"/>
      <c r="P11" s="21">
        <f>SUM(P7:P10)</f>
        <v>10164.27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818.20535571954747</v>
      </c>
      <c r="P14" s="65">
        <f>+P11</f>
        <v>10164.27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2724.9700000000003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468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>
        <v>26.007999999999999</v>
      </c>
      <c r="F17" s="60">
        <v>0.2</v>
      </c>
      <c r="G17" s="61">
        <f t="shared" si="7"/>
        <v>5.2016</v>
      </c>
      <c r="H17" s="62" t="s">
        <v>152</v>
      </c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0.3044000000008964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>
        <v>31.02</v>
      </c>
      <c r="F18" s="60">
        <v>0.2</v>
      </c>
      <c r="G18" s="61">
        <f t="shared" si="7"/>
        <v>6.2040000000000006</v>
      </c>
      <c r="H18" s="71" t="s">
        <v>153</v>
      </c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585.19000000000005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11.4056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735.19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4686.6904099999992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6224.4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1421.8479068615309</v>
      </c>
      <c r="M26" s="93" t="s">
        <v>155</v>
      </c>
      <c r="N26" s="94" t="s">
        <v>156</v>
      </c>
      <c r="O26" s="95" t="s">
        <v>144</v>
      </c>
      <c r="P26" s="96" t="str">
        <f>+I42&amp;"   "&amp;"kg"</f>
        <v>2870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7.1882501579278824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7.1579301075269086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+'08-03-2025'!J34</f>
        <v>-315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11.4056</v>
      </c>
      <c r="H31" s="104"/>
      <c r="I31" s="74" t="s">
        <v>96</v>
      </c>
      <c r="J31" s="105">
        <v>150</v>
      </c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-2.9718032786886397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45726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-465</v>
      </c>
      <c r="K34" s="118" t="s">
        <v>56</v>
      </c>
      <c r="L34" s="125">
        <v>4466.2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2020.97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1758.2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704</v>
      </c>
      <c r="C36" s="136">
        <v>468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9"/>
      <c r="M36" s="281" t="s">
        <v>112</v>
      </c>
      <c r="N36" s="281"/>
      <c r="O36" s="140">
        <f>+L33</f>
        <v>45726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4466.2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2724.9700000000003</v>
      </c>
      <c r="C38" s="153">
        <f>SUM(C35:C37)</f>
        <v>468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6224.4</v>
      </c>
      <c r="M38" s="161" t="s">
        <v>27</v>
      </c>
      <c r="N38" s="162" t="s">
        <v>116</v>
      </c>
      <c r="O38" s="163">
        <f>+L35</f>
        <v>1758.2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3192.9700000000003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6224.4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101.58622867972204</v>
      </c>
      <c r="C42" s="184">
        <v>15.83</v>
      </c>
      <c r="D42" s="185">
        <v>1608.11</v>
      </c>
      <c r="E42" s="186"/>
      <c r="F42" s="186"/>
      <c r="G42" s="183"/>
      <c r="H42" s="187" t="s">
        <v>124</v>
      </c>
      <c r="I42" s="188" t="s">
        <v>154</v>
      </c>
      <c r="J42" s="189">
        <v>2.0185</v>
      </c>
      <c r="K42" s="190">
        <f>+I42/J42</f>
        <v>1421.8479068615309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177.86693548387095</v>
      </c>
      <c r="C43" s="184">
        <v>14.88</v>
      </c>
      <c r="D43" s="185">
        <v>2646.66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241.52655737704919</v>
      </c>
      <c r="C45" s="184">
        <v>15.25</v>
      </c>
      <c r="D45" s="185">
        <v>3683.28</v>
      </c>
      <c r="E45" s="186"/>
      <c r="F45" s="186"/>
      <c r="G45" s="183"/>
      <c r="H45" s="206" t="s">
        <v>130</v>
      </c>
      <c r="I45" s="207">
        <f>+K45/J45</f>
        <v>2.3011574453765054</v>
      </c>
      <c r="J45" s="208">
        <f>+J43</f>
        <v>3.7854000000000001</v>
      </c>
      <c r="K45" s="209">
        <f>+L45/I42</f>
        <v>8.7108013937282234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297.22563417890518</v>
      </c>
      <c r="C46" s="184">
        <v>7.49</v>
      </c>
      <c r="D46" s="185">
        <v>2226.2199999999998</v>
      </c>
      <c r="E46" s="186"/>
      <c r="F46" s="186"/>
      <c r="G46" s="183"/>
      <c r="H46" s="262">
        <f>(L34+B38+P21+P22+P20+L36)-SUM(D42:D45)+(P18+P19)</f>
        <v>-0.28439999999864085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818.20535571954747</v>
      </c>
      <c r="C47" s="216"/>
      <c r="D47" s="217">
        <f>SUM(D42:D46)</f>
        <v>10164.269999999999</v>
      </c>
      <c r="E47" s="217">
        <v>10164.269999999999</v>
      </c>
      <c r="F47" s="186"/>
      <c r="G47" s="183"/>
      <c r="H47" s="263">
        <f>(C36+L35+L37)-D46</f>
        <v>-1.999999999998181E-2</v>
      </c>
      <c r="I47" s="220" t="s">
        <v>88</v>
      </c>
      <c r="J47" s="221" t="s">
        <v>135</v>
      </c>
      <c r="K47" s="222">
        <v>2.0185</v>
      </c>
      <c r="L47" s="223">
        <f>+K45-K43</f>
        <v>1.2208013937282232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45727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70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+'10-03-2025'!K7</f>
        <v>2966.862436528741</v>
      </c>
      <c r="C7" s="22">
        <f>L26+L27</f>
        <v>0</v>
      </c>
      <c r="D7" s="23"/>
      <c r="E7" s="23"/>
      <c r="F7" s="24">
        <f t="shared" ref="F7:F10" si="0">+B7+C7+D7+E7</f>
        <v>2966.862436528741</v>
      </c>
      <c r="G7" s="25">
        <f>B46-H7</f>
        <v>267.19492656875832</v>
      </c>
      <c r="H7" s="22"/>
      <c r="I7" s="26"/>
      <c r="J7" s="21">
        <f t="shared" ref="J7:J10" si="1">+G7+H7+I7</f>
        <v>267.19492656875832</v>
      </c>
      <c r="K7" s="21">
        <f t="shared" ref="K7:K10" si="2">+F7-J7</f>
        <v>2699.6675099599825</v>
      </c>
      <c r="L7" s="27">
        <f>+'10-03-2025'!M7</f>
        <v>2966.862436528741</v>
      </c>
      <c r="M7" s="28">
        <v>2699.6675099599825</v>
      </c>
      <c r="N7" s="24">
        <f t="shared" ref="N7:N10" si="3">+G7</f>
        <v>267.19492656875832</v>
      </c>
      <c r="O7" s="24">
        <f>+C46</f>
        <v>7.49</v>
      </c>
      <c r="P7" s="29">
        <f t="shared" ref="P7:P10" si="4">+N7*O7</f>
        <v>2001.29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+'10-03-2025'!K8</f>
        <v>517.18825015792788</v>
      </c>
      <c r="C8" s="22">
        <f>L28</f>
        <v>980</v>
      </c>
      <c r="D8" s="33"/>
      <c r="E8" s="23"/>
      <c r="F8" s="24">
        <f t="shared" si="0"/>
        <v>1497.188250157928</v>
      </c>
      <c r="G8" s="25">
        <f>+B42-H8</f>
        <v>72.768793430195828</v>
      </c>
      <c r="H8" s="22"/>
      <c r="I8" s="26"/>
      <c r="J8" s="21">
        <f t="shared" si="1"/>
        <v>72.768793430195828</v>
      </c>
      <c r="K8" s="21">
        <f t="shared" si="2"/>
        <v>1424.4194567277323</v>
      </c>
      <c r="L8" s="27">
        <f>+'10-03-2025'!M8</f>
        <v>510</v>
      </c>
      <c r="M8" s="28">
        <v>1419</v>
      </c>
      <c r="N8" s="24">
        <f t="shared" si="3"/>
        <v>72.768793430195828</v>
      </c>
      <c r="O8" s="24">
        <f>+C42</f>
        <v>15.83</v>
      </c>
      <c r="P8" s="29">
        <f t="shared" si="4"/>
        <v>1151.93</v>
      </c>
      <c r="Q8" s="30">
        <f t="shared" si="5"/>
        <v>-5.4194567277322676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+'10-03-2025'!K9</f>
        <v>1017.1579301075269</v>
      </c>
      <c r="C9" s="22">
        <f>L29</f>
        <v>0</v>
      </c>
      <c r="D9" s="33"/>
      <c r="E9" s="23"/>
      <c r="F9" s="24">
        <f t="shared" si="0"/>
        <v>1017.1579301075269</v>
      </c>
      <c r="G9" s="25">
        <f>+B43-H9</f>
        <v>163.90053763440861</v>
      </c>
      <c r="H9" s="22"/>
      <c r="I9" s="26"/>
      <c r="J9" s="21">
        <f t="shared" si="1"/>
        <v>163.90053763440861</v>
      </c>
      <c r="K9" s="21">
        <f t="shared" si="2"/>
        <v>853.25739247311833</v>
      </c>
      <c r="L9" s="27">
        <f>+'10-03-2025'!M9</f>
        <v>1010</v>
      </c>
      <c r="M9" s="28">
        <v>845</v>
      </c>
      <c r="N9" s="24">
        <f t="shared" si="3"/>
        <v>163.90053763440861</v>
      </c>
      <c r="O9" s="24">
        <f>+C43</f>
        <v>14.88</v>
      </c>
      <c r="P9" s="29">
        <f t="shared" si="4"/>
        <v>2438.84</v>
      </c>
      <c r="Q9" s="30">
        <f t="shared" si="5"/>
        <v>-8.2573924731183297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+'10-03-2025'!K10</f>
        <v>1602.0281967213114</v>
      </c>
      <c r="C10" s="40">
        <f>L31</f>
        <v>0</v>
      </c>
      <c r="D10" s="41"/>
      <c r="E10" s="42"/>
      <c r="F10" s="24">
        <f t="shared" si="0"/>
        <v>1602.0281967213114</v>
      </c>
      <c r="G10" s="43">
        <f>+B45-H10</f>
        <v>51.474754098360656</v>
      </c>
      <c r="H10" s="40"/>
      <c r="I10" s="26"/>
      <c r="J10" s="44">
        <f t="shared" si="1"/>
        <v>51.474754098360656</v>
      </c>
      <c r="K10" s="44">
        <f t="shared" si="2"/>
        <v>1550.5534426229508</v>
      </c>
      <c r="L10" s="27">
        <f>+'10-03-2025'!M10</f>
        <v>1605</v>
      </c>
      <c r="M10" s="28">
        <v>1550</v>
      </c>
      <c r="N10" s="42">
        <f t="shared" si="3"/>
        <v>51.474754098360656</v>
      </c>
      <c r="O10" s="42">
        <f>+C45</f>
        <v>15.25</v>
      </c>
      <c r="P10" s="45">
        <f t="shared" si="4"/>
        <v>784.99</v>
      </c>
      <c r="Q10" s="30">
        <f t="shared" si="5"/>
        <v>-0.55344262295079716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6103.2368135155075</v>
      </c>
      <c r="C11" s="21">
        <f t="shared" si="6"/>
        <v>980</v>
      </c>
      <c r="D11" s="21">
        <f t="shared" si="6"/>
        <v>0</v>
      </c>
      <c r="E11" s="21">
        <f t="shared" si="6"/>
        <v>0</v>
      </c>
      <c r="F11" s="21">
        <f t="shared" si="6"/>
        <v>7083.2368135155075</v>
      </c>
      <c r="G11" s="21">
        <f t="shared" si="6"/>
        <v>555.33901173172342</v>
      </c>
      <c r="H11" s="21">
        <f t="shared" si="6"/>
        <v>0</v>
      </c>
      <c r="I11" s="21">
        <f t="shared" si="6"/>
        <v>0</v>
      </c>
      <c r="J11" s="21">
        <f t="shared" si="6"/>
        <v>555.33901173172342</v>
      </c>
      <c r="K11" s="21">
        <f t="shared" si="6"/>
        <v>6527.8978017837844</v>
      </c>
      <c r="L11" s="27">
        <f t="shared" si="6"/>
        <v>6091.8624365287415</v>
      </c>
      <c r="M11" s="21">
        <f t="shared" si="6"/>
        <v>6513.6675099599825</v>
      </c>
      <c r="N11" s="21">
        <f t="shared" si="6"/>
        <v>555.33901173172342</v>
      </c>
      <c r="O11" s="21"/>
      <c r="P11" s="21">
        <f>SUM(P7:P10)</f>
        <v>6377.05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555.33901173172342</v>
      </c>
      <c r="P14" s="65">
        <f>+P11</f>
        <v>6377.05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157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1284.25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422.34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0.15999999999985448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 t="s">
        <v>160</v>
      </c>
      <c r="N18" s="289"/>
      <c r="O18" s="290"/>
      <c r="P18" s="69">
        <v>3037.5</v>
      </c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50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1578.8000000000002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>
        <v>980</v>
      </c>
      <c r="M28" s="94" t="s">
        <v>159</v>
      </c>
      <c r="N28" s="94" t="s">
        <v>158</v>
      </c>
      <c r="O28" s="95" t="s">
        <v>91</v>
      </c>
      <c r="P28" s="100">
        <f>13198.35/980</f>
        <v>13.467704081632654</v>
      </c>
      <c r="Q28" s="97">
        <f>+O8-P28</f>
        <v>2.3622959183673462</v>
      </c>
      <c r="S28" s="48">
        <f>+Q8*-1</f>
        <v>5.4194567277322676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8.2573924731183297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+'10-03-2025'!J34</f>
        <v>-465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>
        <v>50</v>
      </c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0.55344262295079716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45727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-515</v>
      </c>
      <c r="K34" s="118" t="s">
        <v>56</v>
      </c>
      <c r="L34" s="125">
        <v>0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1174.25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1578.8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110</v>
      </c>
      <c r="C36" s="136">
        <v>422.34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9"/>
      <c r="M36" s="281" t="s">
        <v>112</v>
      </c>
      <c r="N36" s="281"/>
      <c r="O36" s="140">
        <f>+L33</f>
        <v>45727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0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1284.25</v>
      </c>
      <c r="C38" s="153">
        <f>SUM(C35:C37)</f>
        <v>422.34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1578.8</v>
      </c>
      <c r="M38" s="161" t="s">
        <v>27</v>
      </c>
      <c r="N38" s="162" t="s">
        <v>116</v>
      </c>
      <c r="O38" s="163">
        <f>+L35</f>
        <v>1578.8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1706.59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1578.8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72.768793430195828</v>
      </c>
      <c r="C42" s="184">
        <v>15.83</v>
      </c>
      <c r="D42" s="185">
        <v>1151.93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163.90053763440861</v>
      </c>
      <c r="C43" s="184">
        <v>14.88</v>
      </c>
      <c r="D43" s="185">
        <v>2438.84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51.474754098360656</v>
      </c>
      <c r="C45" s="184">
        <v>15.25</v>
      </c>
      <c r="D45" s="185">
        <v>784.99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267.19492656875832</v>
      </c>
      <c r="C46" s="184">
        <v>7.49</v>
      </c>
      <c r="D46" s="185">
        <v>2001.29</v>
      </c>
      <c r="E46" s="186"/>
      <c r="F46" s="186"/>
      <c r="G46" s="183"/>
      <c r="H46" s="262">
        <f>(L34+B38+P21+P22+P20+L36)-SUM(D42:D45)+(P18+P19)</f>
        <v>-1.0000000000218279E-2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555.33901173172342</v>
      </c>
      <c r="C47" s="216"/>
      <c r="D47" s="217">
        <f>SUM(D42:D46)</f>
        <v>6377.05</v>
      </c>
      <c r="E47" s="217">
        <v>6377.05</v>
      </c>
      <c r="F47" s="186"/>
      <c r="G47" s="183"/>
      <c r="H47" s="263">
        <f>(C36+L35+L37)-D46</f>
        <v>-0.15000000000009095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45728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71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+'11-03-2025'!K7</f>
        <v>2699.6675099599825</v>
      </c>
      <c r="C7" s="22">
        <f>L26+L27</f>
        <v>0</v>
      </c>
      <c r="D7" s="23"/>
      <c r="E7" s="23"/>
      <c r="F7" s="24">
        <f t="shared" ref="F7:F10" si="0">+B7+C7+D7+E7</f>
        <v>2699.6675099599825</v>
      </c>
      <c r="G7" s="25">
        <f>B46-H7</f>
        <v>277.40186915887847</v>
      </c>
      <c r="H7" s="22"/>
      <c r="I7" s="26"/>
      <c r="J7" s="21">
        <f t="shared" ref="J7:J10" si="1">+G7+H7+I7</f>
        <v>277.40186915887847</v>
      </c>
      <c r="K7" s="21">
        <f t="shared" ref="K7:K10" si="2">+F7-J7</f>
        <v>2422.2656408011039</v>
      </c>
      <c r="L7" s="27">
        <f>+'11-03-2025'!M7</f>
        <v>2699.6675099599825</v>
      </c>
      <c r="M7" s="28">
        <v>2422.2656408011039</v>
      </c>
      <c r="N7" s="24">
        <f t="shared" ref="N7:N10" si="3">+G7</f>
        <v>277.40186915887847</v>
      </c>
      <c r="O7" s="24">
        <f>+C46</f>
        <v>7.49</v>
      </c>
      <c r="P7" s="29">
        <f t="shared" ref="P7:P10" si="4">+N7*O7</f>
        <v>2077.7399999999998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+'11-03-2025'!K8</f>
        <v>1424.4194567277323</v>
      </c>
      <c r="C8" s="22">
        <f>L28</f>
        <v>0</v>
      </c>
      <c r="D8" s="33"/>
      <c r="E8" s="23"/>
      <c r="F8" s="24">
        <f t="shared" si="0"/>
        <v>1424.4194567277323</v>
      </c>
      <c r="G8" s="25">
        <f>+B42-H8</f>
        <v>60.210360075805433</v>
      </c>
      <c r="H8" s="22"/>
      <c r="I8" s="26"/>
      <c r="J8" s="21">
        <f t="shared" si="1"/>
        <v>60.210360075805433</v>
      </c>
      <c r="K8" s="21">
        <f t="shared" si="2"/>
        <v>1364.2090966519268</v>
      </c>
      <c r="L8" s="27">
        <f>+'11-03-2025'!M8</f>
        <v>1419</v>
      </c>
      <c r="M8" s="28">
        <v>1356</v>
      </c>
      <c r="N8" s="24">
        <f t="shared" si="3"/>
        <v>60.210360075805433</v>
      </c>
      <c r="O8" s="24">
        <f>+C42</f>
        <v>15.83</v>
      </c>
      <c r="P8" s="29">
        <f t="shared" si="4"/>
        <v>953.13</v>
      </c>
      <c r="Q8" s="30">
        <f t="shared" si="5"/>
        <v>-8.2090966519267567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+'11-03-2025'!K9</f>
        <v>853.25739247311833</v>
      </c>
      <c r="C9" s="22">
        <f>L29</f>
        <v>0</v>
      </c>
      <c r="D9" s="33"/>
      <c r="E9" s="23"/>
      <c r="F9" s="24">
        <f t="shared" si="0"/>
        <v>853.25739247311833</v>
      </c>
      <c r="G9" s="25">
        <f>+B43-H9</f>
        <v>168.62298387096774</v>
      </c>
      <c r="H9" s="22"/>
      <c r="I9" s="26"/>
      <c r="J9" s="21">
        <f t="shared" si="1"/>
        <v>168.62298387096774</v>
      </c>
      <c r="K9" s="21">
        <f t="shared" si="2"/>
        <v>684.63440860215064</v>
      </c>
      <c r="L9" s="27">
        <f>+'11-03-2025'!M9</f>
        <v>845</v>
      </c>
      <c r="M9" s="28">
        <v>675</v>
      </c>
      <c r="N9" s="24">
        <f t="shared" si="3"/>
        <v>168.62298387096774</v>
      </c>
      <c r="O9" s="24">
        <f>+C43</f>
        <v>14.88</v>
      </c>
      <c r="P9" s="29">
        <f t="shared" si="4"/>
        <v>2509.11</v>
      </c>
      <c r="Q9" s="30">
        <f t="shared" si="5"/>
        <v>-9.6344086021506428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+'11-03-2025'!K10</f>
        <v>1550.5534426229508</v>
      </c>
      <c r="C10" s="40">
        <f>L31</f>
        <v>0</v>
      </c>
      <c r="D10" s="41"/>
      <c r="E10" s="42"/>
      <c r="F10" s="24">
        <f t="shared" si="0"/>
        <v>1550.5534426229508</v>
      </c>
      <c r="G10" s="43">
        <f>+B45-H10</f>
        <v>75.116721311475402</v>
      </c>
      <c r="H10" s="40"/>
      <c r="I10" s="26"/>
      <c r="J10" s="44">
        <f t="shared" si="1"/>
        <v>75.116721311475402</v>
      </c>
      <c r="K10" s="44">
        <f t="shared" si="2"/>
        <v>1475.4367213114754</v>
      </c>
      <c r="L10" s="27">
        <f>+'11-03-2025'!M10</f>
        <v>1550</v>
      </c>
      <c r="M10" s="28">
        <v>1478</v>
      </c>
      <c r="N10" s="42">
        <f t="shared" si="3"/>
        <v>75.116721311475402</v>
      </c>
      <c r="O10" s="42">
        <f>+C45</f>
        <v>15.25</v>
      </c>
      <c r="P10" s="45">
        <f t="shared" si="4"/>
        <v>1145.53</v>
      </c>
      <c r="Q10" s="30">
        <f t="shared" si="5"/>
        <v>2.5632786885246333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6527.8978017837844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6527.8978017837844</v>
      </c>
      <c r="G11" s="21">
        <f t="shared" si="6"/>
        <v>581.35193441712704</v>
      </c>
      <c r="H11" s="21">
        <f t="shared" si="6"/>
        <v>0</v>
      </c>
      <c r="I11" s="21">
        <f t="shared" si="6"/>
        <v>0</v>
      </c>
      <c r="J11" s="21">
        <f t="shared" si="6"/>
        <v>581.35193441712704</v>
      </c>
      <c r="K11" s="21">
        <f t="shared" si="6"/>
        <v>5946.5458673666571</v>
      </c>
      <c r="L11" s="27">
        <f t="shared" si="6"/>
        <v>6513.6675099599825</v>
      </c>
      <c r="M11" s="21">
        <f t="shared" si="6"/>
        <v>5931.2656408011044</v>
      </c>
      <c r="N11" s="21">
        <f t="shared" si="6"/>
        <v>581.35193441712704</v>
      </c>
      <c r="O11" s="21"/>
      <c r="P11" s="21">
        <f>SUM(P7:P10)</f>
        <v>6685.5099999999993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581.35193441712704</v>
      </c>
      <c r="P14" s="65">
        <f>+P11</f>
        <v>6685.5099999999993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161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1148.99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395.1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1.9199999999984811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 t="s">
        <v>160</v>
      </c>
      <c r="N18" s="289"/>
      <c r="O18" s="290"/>
      <c r="P18" s="69">
        <f>5951-'11-03-2025'!P18</f>
        <v>2913.5</v>
      </c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219.5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269.5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4321.0004099999996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1952.5000000000009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13198.35/980</f>
        <v>13.467704081632654</v>
      </c>
      <c r="Q28" s="97">
        <f>+O8-P28</f>
        <v>2.3622959183673462</v>
      </c>
      <c r="S28" s="48">
        <f>+Q8*-1</f>
        <v>8.2090966519267567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9.6344086021506428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+'10-03-2025'!J34</f>
        <v>-465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>
        <v>50</v>
      </c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-2.5632786885246333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>
        <f>200+500</f>
        <v>700</v>
      </c>
      <c r="K33" s="114" t="s">
        <v>104</v>
      </c>
      <c r="L33" s="115">
        <f>+O2</f>
        <v>45728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185</v>
      </c>
      <c r="K34" s="118" t="s">
        <v>56</v>
      </c>
      <c r="L34" s="125">
        <v>0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f>1477-700</f>
        <v>777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1681.7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371.99</v>
      </c>
      <c r="C36" s="136">
        <v>395.1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>
        <v>270.80000000000064</v>
      </c>
      <c r="M36" s="281" t="s">
        <v>112</v>
      </c>
      <c r="N36" s="281"/>
      <c r="O36" s="140">
        <f>+L33</f>
        <v>45728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0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1148.99</v>
      </c>
      <c r="C38" s="153">
        <f>SUM(C35:C37)</f>
        <v>395.1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1952.5000000000007</v>
      </c>
      <c r="M38" s="161" t="s">
        <v>27</v>
      </c>
      <c r="N38" s="162" t="s">
        <v>116</v>
      </c>
      <c r="O38" s="163">
        <f>+L35</f>
        <v>1681.7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1544.0900000000001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1681.7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60.210360075805433</v>
      </c>
      <c r="C42" s="184">
        <v>15.83</v>
      </c>
      <c r="D42" s="185">
        <v>953.13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168.62298387096774</v>
      </c>
      <c r="C43" s="184">
        <v>14.88</v>
      </c>
      <c r="D43" s="185">
        <v>2509.11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75.116721311475402</v>
      </c>
      <c r="C45" s="184">
        <v>15.25</v>
      </c>
      <c r="D45" s="185">
        <v>1145.53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277.40186915887847</v>
      </c>
      <c r="C46" s="184">
        <v>7.49</v>
      </c>
      <c r="D46" s="185">
        <v>2077.7399999999998</v>
      </c>
      <c r="E46" s="186"/>
      <c r="F46" s="186"/>
      <c r="G46" s="183"/>
      <c r="H46" s="262">
        <f>(L34+B38+P21+P22+P20+L36)-SUM(D42:D45)+(P18+P19)</f>
        <v>-0.97999999999956344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581.35193441712704</v>
      </c>
      <c r="C47" s="216"/>
      <c r="D47" s="217">
        <f>SUM(D42:D46)</f>
        <v>6685.51</v>
      </c>
      <c r="E47" s="217">
        <v>6685.51</v>
      </c>
      <c r="F47" s="186"/>
      <c r="G47" s="183"/>
      <c r="H47" s="263">
        <f>(C36+L35+L37)-D46</f>
        <v>-0.93999999999959982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45729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72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+'12-03-2025'!K7</f>
        <v>2422.2656408011039</v>
      </c>
      <c r="C7" s="22">
        <f>L26+L27</f>
        <v>0</v>
      </c>
      <c r="D7" s="23"/>
      <c r="E7" s="23"/>
      <c r="F7" s="24">
        <f t="shared" ref="F7:F10" si="0">+B7+C7+D7+E7</f>
        <v>2422.2656408011039</v>
      </c>
      <c r="G7" s="25">
        <f>B46-H7</f>
        <v>357.51001335113483</v>
      </c>
      <c r="H7" s="22"/>
      <c r="I7" s="26"/>
      <c r="J7" s="21">
        <f t="shared" ref="J7:J10" si="1">+G7+H7+I7</f>
        <v>357.51001335113483</v>
      </c>
      <c r="K7" s="21">
        <f t="shared" ref="K7:K10" si="2">+F7-J7</f>
        <v>2064.7556274499693</v>
      </c>
      <c r="L7" s="27">
        <f>+'12-03-2025'!M7</f>
        <v>2422.2656408011039</v>
      </c>
      <c r="M7" s="28">
        <v>2064.7556274499693</v>
      </c>
      <c r="N7" s="24">
        <f t="shared" ref="N7:N10" si="3">+G7</f>
        <v>357.51001335113483</v>
      </c>
      <c r="O7" s="24">
        <f>+C46</f>
        <v>7.49</v>
      </c>
      <c r="P7" s="29">
        <f t="shared" ref="P7:P10" si="4">+N7*O7</f>
        <v>2677.75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+'12-03-2025'!K8</f>
        <v>1364.2090966519268</v>
      </c>
      <c r="C8" s="22">
        <f>L28</f>
        <v>0</v>
      </c>
      <c r="D8" s="33"/>
      <c r="E8" s="23"/>
      <c r="F8" s="24">
        <f t="shared" si="0"/>
        <v>1364.2090966519268</v>
      </c>
      <c r="G8" s="25">
        <f>+B42-H8</f>
        <v>137.50726468730258</v>
      </c>
      <c r="H8" s="22"/>
      <c r="I8" s="26"/>
      <c r="J8" s="21">
        <f t="shared" si="1"/>
        <v>137.50726468730258</v>
      </c>
      <c r="K8" s="21">
        <f t="shared" si="2"/>
        <v>1226.7018319646243</v>
      </c>
      <c r="L8" s="27">
        <f>+'12-03-2025'!M8</f>
        <v>1356</v>
      </c>
      <c r="M8" s="28">
        <v>1220</v>
      </c>
      <c r="N8" s="24">
        <f t="shared" si="3"/>
        <v>137.50726468730258</v>
      </c>
      <c r="O8" s="24">
        <f>+C42</f>
        <v>15.83</v>
      </c>
      <c r="P8" s="29">
        <f t="shared" si="4"/>
        <v>2176.7399999999998</v>
      </c>
      <c r="Q8" s="30">
        <f t="shared" si="5"/>
        <v>-6.7018319646242617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+'12-03-2025'!K9</f>
        <v>684.63440860215064</v>
      </c>
      <c r="C9" s="22">
        <f>L29</f>
        <v>0</v>
      </c>
      <c r="D9" s="33"/>
      <c r="E9" s="23"/>
      <c r="F9" s="24">
        <f t="shared" si="0"/>
        <v>684.63440860215064</v>
      </c>
      <c r="G9" s="25">
        <f>+B43-H9</f>
        <v>151.4543010752688</v>
      </c>
      <c r="H9" s="22"/>
      <c r="I9" s="26"/>
      <c r="J9" s="21">
        <f t="shared" si="1"/>
        <v>151.4543010752688</v>
      </c>
      <c r="K9" s="21">
        <f t="shared" si="2"/>
        <v>533.18010752688178</v>
      </c>
      <c r="L9" s="27">
        <f>+'12-03-2025'!M9</f>
        <v>675</v>
      </c>
      <c r="M9" s="28">
        <v>525</v>
      </c>
      <c r="N9" s="24">
        <f t="shared" si="3"/>
        <v>151.4543010752688</v>
      </c>
      <c r="O9" s="24">
        <f>+C43</f>
        <v>14.88</v>
      </c>
      <c r="P9" s="29">
        <f t="shared" si="4"/>
        <v>2253.64</v>
      </c>
      <c r="Q9" s="30">
        <f t="shared" si="5"/>
        <v>-8.180107526881784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+'12-03-2025'!K10</f>
        <v>1475.4367213114754</v>
      </c>
      <c r="C10" s="40">
        <f>L31</f>
        <v>0</v>
      </c>
      <c r="D10" s="41"/>
      <c r="E10" s="42"/>
      <c r="F10" s="24">
        <f t="shared" si="0"/>
        <v>1475.4367213114754</v>
      </c>
      <c r="G10" s="43">
        <f>+B45-H10</f>
        <v>60.070819672131151</v>
      </c>
      <c r="H10" s="40"/>
      <c r="I10" s="26"/>
      <c r="J10" s="44">
        <f t="shared" si="1"/>
        <v>60.070819672131151</v>
      </c>
      <c r="K10" s="44">
        <f t="shared" si="2"/>
        <v>1415.3659016393442</v>
      </c>
      <c r="L10" s="27">
        <f>+'12-03-2025'!M10</f>
        <v>1478</v>
      </c>
      <c r="M10" s="28">
        <v>1417</v>
      </c>
      <c r="N10" s="42">
        <f t="shared" si="3"/>
        <v>60.070819672131151</v>
      </c>
      <c r="O10" s="42">
        <f>+C45</f>
        <v>15.25</v>
      </c>
      <c r="P10" s="45">
        <f t="shared" si="4"/>
        <v>916.08</v>
      </c>
      <c r="Q10" s="30">
        <f t="shared" si="5"/>
        <v>1.6340983606557984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5946.5458673666571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5946.5458673666571</v>
      </c>
      <c r="G11" s="21">
        <f t="shared" si="6"/>
        <v>706.54239878583735</v>
      </c>
      <c r="H11" s="21">
        <f t="shared" si="6"/>
        <v>0</v>
      </c>
      <c r="I11" s="21">
        <f t="shared" si="6"/>
        <v>0</v>
      </c>
      <c r="J11" s="21">
        <f t="shared" si="6"/>
        <v>706.54239878583735</v>
      </c>
      <c r="K11" s="21">
        <f t="shared" si="6"/>
        <v>5240.0034685808196</v>
      </c>
      <c r="L11" s="27">
        <f t="shared" si="6"/>
        <v>5931.2656408011044</v>
      </c>
      <c r="M11" s="21">
        <f t="shared" si="6"/>
        <v>5226.7556274499693</v>
      </c>
      <c r="N11" s="21">
        <f t="shared" si="6"/>
        <v>706.54239878583735</v>
      </c>
      <c r="O11" s="21"/>
      <c r="P11" s="21">
        <f>SUM(P7:P10)</f>
        <v>8024.2099999999991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706.54239878583735</v>
      </c>
      <c r="P14" s="65">
        <f>+P11</f>
        <v>8024.2099999999991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162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1116.17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590.97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0.25980799999979354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369.51019199999996</v>
      </c>
      <c r="M20" s="288" t="s">
        <v>68</v>
      </c>
      <c r="N20" s="289"/>
      <c r="O20" s="290"/>
      <c r="P20" s="77">
        <f>+L20</f>
        <v>369.51019199999996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>
        <v>369.51</v>
      </c>
      <c r="M22" s="288" t="s">
        <v>74</v>
      </c>
      <c r="N22" s="289"/>
      <c r="O22" s="290"/>
      <c r="P22" s="77">
        <f>+J37+J20+J26+J31+J32</f>
        <v>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-1.9199999996999395E-4</v>
      </c>
      <c r="M23" s="294" t="s">
        <v>77</v>
      </c>
      <c r="N23" s="295"/>
      <c r="O23" s="83"/>
      <c r="P23" s="84">
        <f>P14-SUM(P15:P22)</f>
        <v>5943.2999999999993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>
        <f>10.3924+12.95</f>
        <v>23.342399999999998</v>
      </c>
      <c r="F25" s="60">
        <v>0</v>
      </c>
      <c r="G25" s="61">
        <f t="shared" si="7"/>
        <v>0</v>
      </c>
      <c r="H25" s="71" t="s">
        <v>163</v>
      </c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13198.35/980</f>
        <v>13.467704081632654</v>
      </c>
      <c r="Q28" s="97">
        <f>+O8-P28</f>
        <v>2.3622959183673462</v>
      </c>
      <c r="S28" s="48">
        <f>+Q8*-1</f>
        <v>6.7018319646242617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8.180107526881784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+'12-03-2025'!J34</f>
        <v>185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-1.6340983606557984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45729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185</v>
      </c>
      <c r="K34" s="118" t="s">
        <v>56</v>
      </c>
      <c r="L34" s="125">
        <v>3856.6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797.49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2086.6999999999998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318.68</v>
      </c>
      <c r="C36" s="136">
        <v>590.97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45729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3856.6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1116.17</v>
      </c>
      <c r="C38" s="153">
        <f>SUM(C35:C37)</f>
        <v>590.97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5943.2999999999993</v>
      </c>
      <c r="M38" s="161" t="s">
        <v>27</v>
      </c>
      <c r="N38" s="162" t="s">
        <v>116</v>
      </c>
      <c r="O38" s="163">
        <f>+L35</f>
        <v>2086.6999999999998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1707.14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5943.2999999999993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137.50726468730258</v>
      </c>
      <c r="C42" s="184">
        <v>15.83</v>
      </c>
      <c r="D42" s="185">
        <v>2176.7399999999998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151.4543010752688</v>
      </c>
      <c r="C43" s="184">
        <v>14.88</v>
      </c>
      <c r="D43" s="185">
        <v>2253.64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60.070819672131151</v>
      </c>
      <c r="C45" s="184">
        <v>15.25</v>
      </c>
      <c r="D45" s="185">
        <v>916.08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357.51001335113483</v>
      </c>
      <c r="C46" s="184">
        <v>7.49</v>
      </c>
      <c r="D46" s="185">
        <v>2677.75</v>
      </c>
      <c r="E46" s="186"/>
      <c r="F46" s="186"/>
      <c r="G46" s="183"/>
      <c r="H46" s="262">
        <f>(L34+B38+P21+P22+P20+L36)-SUM(D42:D45)+(P18+P19)</f>
        <v>-0.1798079999989568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706.54239878583735</v>
      </c>
      <c r="C47" s="216"/>
      <c r="D47" s="217">
        <f>SUM(D42:D46)</f>
        <v>8024.2099999999991</v>
      </c>
      <c r="E47" s="217">
        <v>8024.2099999999991</v>
      </c>
      <c r="F47" s="186"/>
      <c r="G47" s="183"/>
      <c r="H47" s="263">
        <f>(C36+L35+L37)-D46</f>
        <v>-7.999999999992724E-2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45730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73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+'13-03-2025'!K7</f>
        <v>2064.7556274499693</v>
      </c>
      <c r="C7" s="22">
        <f>L26+L27</f>
        <v>0</v>
      </c>
      <c r="D7" s="23"/>
      <c r="E7" s="23"/>
      <c r="F7" s="24">
        <f t="shared" ref="F7:F10" si="0">+B7+C7+D7+E7</f>
        <v>2064.7556274499693</v>
      </c>
      <c r="G7" s="25">
        <f>B46-H7</f>
        <v>294.17623497997329</v>
      </c>
      <c r="H7" s="22"/>
      <c r="I7" s="26"/>
      <c r="J7" s="21">
        <f t="shared" ref="J7:J10" si="1">+G7+H7+I7</f>
        <v>294.17623497997329</v>
      </c>
      <c r="K7" s="21">
        <f t="shared" ref="K7:K10" si="2">+F7-J7</f>
        <v>1770.579392469996</v>
      </c>
      <c r="L7" s="27">
        <f>+'13-03-2025'!M7</f>
        <v>2064.7556274499693</v>
      </c>
      <c r="M7" s="28">
        <v>1770.579392469996</v>
      </c>
      <c r="N7" s="24">
        <f t="shared" ref="N7:N10" si="3">+G7</f>
        <v>294.17623497997329</v>
      </c>
      <c r="O7" s="24">
        <f>+C46</f>
        <v>7.49</v>
      </c>
      <c r="P7" s="29">
        <f t="shared" ref="P7:P10" si="4">+N7*O7</f>
        <v>2203.38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+'13-03-2025'!K8</f>
        <v>1226.7018319646243</v>
      </c>
      <c r="C8" s="22">
        <f>L28</f>
        <v>0</v>
      </c>
      <c r="D8" s="33"/>
      <c r="E8" s="23"/>
      <c r="F8" s="24">
        <f t="shared" si="0"/>
        <v>1226.7018319646243</v>
      </c>
      <c r="G8" s="25">
        <f>+B42-H8</f>
        <v>82.711307643714463</v>
      </c>
      <c r="H8" s="22"/>
      <c r="I8" s="26"/>
      <c r="J8" s="21">
        <f t="shared" si="1"/>
        <v>82.711307643714463</v>
      </c>
      <c r="K8" s="21">
        <f t="shared" si="2"/>
        <v>1143.9905243209098</v>
      </c>
      <c r="L8" s="27">
        <f>+'13-03-2025'!M8</f>
        <v>1220</v>
      </c>
      <c r="M8" s="28">
        <v>1135</v>
      </c>
      <c r="N8" s="24">
        <f t="shared" si="3"/>
        <v>82.711307643714463</v>
      </c>
      <c r="O8" s="24">
        <f>+C42</f>
        <v>15.83</v>
      </c>
      <c r="P8" s="29">
        <f t="shared" si="4"/>
        <v>1309.32</v>
      </c>
      <c r="Q8" s="30">
        <f t="shared" si="5"/>
        <v>-8.9905243209097989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+'13-03-2025'!K9</f>
        <v>533.18010752688178</v>
      </c>
      <c r="C9" s="22">
        <f>L29</f>
        <v>1050</v>
      </c>
      <c r="D9" s="33"/>
      <c r="E9" s="23"/>
      <c r="F9" s="24">
        <f t="shared" si="0"/>
        <v>1583.1801075268818</v>
      </c>
      <c r="G9" s="25">
        <f>+B43-H9</f>
        <v>218.96303763440861</v>
      </c>
      <c r="H9" s="22"/>
      <c r="I9" s="26"/>
      <c r="J9" s="21">
        <f t="shared" si="1"/>
        <v>218.96303763440861</v>
      </c>
      <c r="K9" s="21">
        <f t="shared" si="2"/>
        <v>1364.2170698924731</v>
      </c>
      <c r="L9" s="27">
        <f>+'13-03-2025'!M9</f>
        <v>525</v>
      </c>
      <c r="M9" s="28">
        <v>1355</v>
      </c>
      <c r="N9" s="24">
        <f t="shared" si="3"/>
        <v>218.96303763440861</v>
      </c>
      <c r="O9" s="24">
        <f>+C43</f>
        <v>14.88</v>
      </c>
      <c r="P9" s="29">
        <f t="shared" si="4"/>
        <v>3258.17</v>
      </c>
      <c r="Q9" s="30">
        <f t="shared" si="5"/>
        <v>-9.2170698924730914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+'13-03-2025'!K10</f>
        <v>1415.3659016393442</v>
      </c>
      <c r="C10" s="40">
        <f>L31</f>
        <v>0</v>
      </c>
      <c r="D10" s="41"/>
      <c r="E10" s="42"/>
      <c r="F10" s="24">
        <f t="shared" si="0"/>
        <v>1415.3659016393442</v>
      </c>
      <c r="G10" s="43">
        <f>+B45-H10</f>
        <v>101.27016393442622</v>
      </c>
      <c r="H10" s="40"/>
      <c r="I10" s="26"/>
      <c r="J10" s="44">
        <f t="shared" si="1"/>
        <v>101.27016393442622</v>
      </c>
      <c r="K10" s="44">
        <f t="shared" si="2"/>
        <v>1314.0957377049181</v>
      </c>
      <c r="L10" s="27">
        <f>+'13-03-2025'!M10</f>
        <v>1417</v>
      </c>
      <c r="M10" s="28">
        <v>1315</v>
      </c>
      <c r="N10" s="42">
        <f t="shared" si="3"/>
        <v>101.27016393442622</v>
      </c>
      <c r="O10" s="42">
        <f>+C45</f>
        <v>15.25</v>
      </c>
      <c r="P10" s="45">
        <f t="shared" si="4"/>
        <v>1544.37</v>
      </c>
      <c r="Q10" s="30">
        <f t="shared" si="5"/>
        <v>0.90426229508193501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5240.0034685808196</v>
      </c>
      <c r="C11" s="21">
        <f t="shared" si="6"/>
        <v>1050</v>
      </c>
      <c r="D11" s="21">
        <f t="shared" si="6"/>
        <v>0</v>
      </c>
      <c r="E11" s="21">
        <f t="shared" si="6"/>
        <v>0</v>
      </c>
      <c r="F11" s="21">
        <f t="shared" si="6"/>
        <v>6290.0034685808196</v>
      </c>
      <c r="G11" s="21">
        <f t="shared" si="6"/>
        <v>697.12074419252258</v>
      </c>
      <c r="H11" s="21">
        <f t="shared" si="6"/>
        <v>0</v>
      </c>
      <c r="I11" s="21">
        <f t="shared" si="6"/>
        <v>0</v>
      </c>
      <c r="J11" s="21">
        <f t="shared" si="6"/>
        <v>697.12074419252258</v>
      </c>
      <c r="K11" s="21">
        <f t="shared" si="6"/>
        <v>5592.882724388297</v>
      </c>
      <c r="L11" s="27">
        <f t="shared" si="6"/>
        <v>5226.7556274499693</v>
      </c>
      <c r="M11" s="21">
        <f t="shared" si="6"/>
        <v>5575.5793924699956</v>
      </c>
      <c r="N11" s="21">
        <f t="shared" si="6"/>
        <v>697.12074419252258</v>
      </c>
      <c r="O11" s="21"/>
      <c r="P11" s="21">
        <f>SUM(P7:P10)</f>
        <v>8315.24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697.12074419252258</v>
      </c>
      <c r="P14" s="65">
        <f>+P11</f>
        <v>8315.24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164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1127.3400000000001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599.63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0.36999999999989086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211.85</v>
      </c>
      <c r="K20" s="76" t="s">
        <v>67</v>
      </c>
      <c r="L20" s="73">
        <f>+E24*(O10-F24)+E25*(O8-F25)+E26*(O9-F26)+E27*(O7-F27)</f>
        <v>1075.6500000000001</v>
      </c>
      <c r="M20" s="288" t="s">
        <v>68</v>
      </c>
      <c r="N20" s="289"/>
      <c r="O20" s="290"/>
      <c r="P20" s="77">
        <f>+L20</f>
        <v>1075.6500000000001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>
        <v>1075.6500000000001</v>
      </c>
      <c r="M22" s="288" t="s">
        <v>74</v>
      </c>
      <c r="N22" s="289"/>
      <c r="O22" s="290"/>
      <c r="P22" s="77">
        <f>+J37+J20+J26+J31+J32</f>
        <v>311.85000000000002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4313.35041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5196.3999999999996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>
        <f>197.57/15.25</f>
        <v>12.955409836065574</v>
      </c>
      <c r="F24" s="60">
        <v>0</v>
      </c>
      <c r="G24" s="61">
        <f t="shared" si="7"/>
        <v>0</v>
      </c>
      <c r="H24" s="71" t="s">
        <v>167</v>
      </c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>
        <f>878.08/14.88</f>
        <v>59.01075268817204</v>
      </c>
      <c r="F26" s="60">
        <v>0</v>
      </c>
      <c r="G26" s="61">
        <f t="shared" si="7"/>
        <v>0</v>
      </c>
      <c r="H26" s="71" t="s">
        <v>168</v>
      </c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13198.35/980</f>
        <v>13.467704081632654</v>
      </c>
      <c r="Q28" s="97">
        <f>+O8-P28</f>
        <v>2.3622959183673462</v>
      </c>
      <c r="S28" s="48">
        <f>+Q8*-1</f>
        <v>8.9905243209097989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>
        <v>1050</v>
      </c>
      <c r="M29" s="94" t="s">
        <v>165</v>
      </c>
      <c r="N29" s="94" t="s">
        <v>166</v>
      </c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9.2170698924730914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+'12-03-2025'!J34</f>
        <v>185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>
        <v>100</v>
      </c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-0.90426229508193501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45730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85</v>
      </c>
      <c r="K34" s="118" t="s">
        <v>56</v>
      </c>
      <c r="L34" s="125">
        <v>3592.9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886.84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1603.5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240.5</v>
      </c>
      <c r="C36" s="136">
        <v>599.63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45730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3592.9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1127.3400000000001</v>
      </c>
      <c r="C38" s="153">
        <f>SUM(C35:C37)</f>
        <v>599.63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5196.3999999999996</v>
      </c>
      <c r="M38" s="161" t="s">
        <v>27</v>
      </c>
      <c r="N38" s="162" t="s">
        <v>116</v>
      </c>
      <c r="O38" s="163">
        <f>+L35</f>
        <v>1603.5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1726.9700000000003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5196.3999999999996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82.711307643714463</v>
      </c>
      <c r="C42" s="184">
        <v>15.83</v>
      </c>
      <c r="D42" s="185">
        <v>1309.32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218.96303763440861</v>
      </c>
      <c r="C43" s="184">
        <v>14.88</v>
      </c>
      <c r="D43" s="185">
        <v>3258.17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101.27016393442622</v>
      </c>
      <c r="C45" s="184">
        <v>15.25</v>
      </c>
      <c r="D45" s="185">
        <v>1544.37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294.17623497997329</v>
      </c>
      <c r="C46" s="184">
        <v>7.49</v>
      </c>
      <c r="D46" s="185">
        <v>2203.38</v>
      </c>
      <c r="E46" s="186"/>
      <c r="F46" s="186"/>
      <c r="G46" s="183"/>
      <c r="H46" s="262">
        <f>(L34+B38+P21+P22+P20+L36)-SUM(D42:D45)+(P18+P19)</f>
        <v>-0.11999999999989086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697.12074419252258</v>
      </c>
      <c r="C47" s="216"/>
      <c r="D47" s="217">
        <f>SUM(D42:D46)</f>
        <v>8315.24</v>
      </c>
      <c r="E47" s="217">
        <v>8315.24</v>
      </c>
      <c r="F47" s="186"/>
      <c r="G47" s="183"/>
      <c r="H47" s="263">
        <f>(C36+L35+L37)-D46</f>
        <v>-0.25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45731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74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+'14-03-2025'!K7</f>
        <v>1770.579392469996</v>
      </c>
      <c r="C7" s="22">
        <f>L26+L27</f>
        <v>0</v>
      </c>
      <c r="D7" s="23"/>
      <c r="E7" s="23"/>
      <c r="F7" s="24">
        <f t="shared" ref="F7:F10" si="0">+B7+C7+D7+E7</f>
        <v>1770.579392469996</v>
      </c>
      <c r="G7" s="25">
        <f>B46-H7</f>
        <v>347.25367156208273</v>
      </c>
      <c r="H7" s="22"/>
      <c r="I7" s="26"/>
      <c r="J7" s="21">
        <f t="shared" ref="J7:J10" si="1">+G7+H7+I7</f>
        <v>347.25367156208273</v>
      </c>
      <c r="K7" s="21">
        <f t="shared" ref="K7:K10" si="2">+F7-J7</f>
        <v>1423.3257209079134</v>
      </c>
      <c r="L7" s="27">
        <f>+'14-03-2025'!M7</f>
        <v>1770.579392469996</v>
      </c>
      <c r="M7" s="28">
        <v>1423.3257209079134</v>
      </c>
      <c r="N7" s="24">
        <f t="shared" ref="N7:N10" si="3">+G7</f>
        <v>347.25367156208273</v>
      </c>
      <c r="O7" s="24">
        <f>+C46</f>
        <v>7.49</v>
      </c>
      <c r="P7" s="29">
        <f t="shared" ref="P7:P10" si="4">+N7*O7</f>
        <v>2600.9299999999998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+'14-03-2025'!K8</f>
        <v>1143.9905243209098</v>
      </c>
      <c r="C8" s="22">
        <f>L28</f>
        <v>0</v>
      </c>
      <c r="D8" s="33"/>
      <c r="E8" s="23"/>
      <c r="F8" s="24">
        <f t="shared" si="0"/>
        <v>1143.9905243209098</v>
      </c>
      <c r="G8" s="25">
        <f>+B42-H8</f>
        <v>90.827542640555905</v>
      </c>
      <c r="H8" s="22"/>
      <c r="I8" s="26"/>
      <c r="J8" s="21">
        <f t="shared" si="1"/>
        <v>90.827542640555905</v>
      </c>
      <c r="K8" s="21">
        <f t="shared" si="2"/>
        <v>1053.1629816803538</v>
      </c>
      <c r="L8" s="27">
        <f>+'14-03-2025'!M8</f>
        <v>1135</v>
      </c>
      <c r="M8" s="28">
        <v>1045</v>
      </c>
      <c r="N8" s="24">
        <f t="shared" si="3"/>
        <v>90.827542640555905</v>
      </c>
      <c r="O8" s="24">
        <f>+C42</f>
        <v>15.83</v>
      </c>
      <c r="P8" s="29">
        <f t="shared" si="4"/>
        <v>1437.8</v>
      </c>
      <c r="Q8" s="30">
        <f t="shared" si="5"/>
        <v>-8.1629816803538233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+'14-03-2025'!K9</f>
        <v>1364.2170698924731</v>
      </c>
      <c r="C9" s="22">
        <f>L29</f>
        <v>0</v>
      </c>
      <c r="D9" s="33"/>
      <c r="E9" s="23"/>
      <c r="F9" s="24">
        <f t="shared" si="0"/>
        <v>1364.2170698924731</v>
      </c>
      <c r="G9" s="25">
        <f>+B43-H9</f>
        <v>142.1081989247312</v>
      </c>
      <c r="H9" s="22"/>
      <c r="I9" s="26"/>
      <c r="J9" s="21">
        <f t="shared" si="1"/>
        <v>142.1081989247312</v>
      </c>
      <c r="K9" s="21">
        <f t="shared" si="2"/>
        <v>1222.108870967742</v>
      </c>
      <c r="L9" s="27">
        <f>+'14-03-2025'!M9</f>
        <v>1355</v>
      </c>
      <c r="M9" s="28">
        <v>1215</v>
      </c>
      <c r="N9" s="24">
        <f t="shared" si="3"/>
        <v>142.1081989247312</v>
      </c>
      <c r="O9" s="24">
        <f>+C43</f>
        <v>14.88</v>
      </c>
      <c r="P9" s="29">
        <f t="shared" si="4"/>
        <v>2114.5700000000002</v>
      </c>
      <c r="Q9" s="30">
        <f t="shared" si="5"/>
        <v>-7.1088709677419502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+'14-03-2025'!K10</f>
        <v>1314.0957377049181</v>
      </c>
      <c r="C10" s="40">
        <f>L31</f>
        <v>0</v>
      </c>
      <c r="D10" s="41"/>
      <c r="E10" s="42"/>
      <c r="F10" s="24">
        <f t="shared" si="0"/>
        <v>1314.0957377049181</v>
      </c>
      <c r="G10" s="43">
        <f>+B45-H10</f>
        <v>52.329836065573765</v>
      </c>
      <c r="H10" s="40"/>
      <c r="I10" s="26"/>
      <c r="J10" s="44">
        <f t="shared" si="1"/>
        <v>52.329836065573765</v>
      </c>
      <c r="K10" s="44">
        <f t="shared" si="2"/>
        <v>1261.7659016393443</v>
      </c>
      <c r="L10" s="27">
        <f>+'14-03-2025'!M10</f>
        <v>1315</v>
      </c>
      <c r="M10" s="28">
        <v>1262</v>
      </c>
      <c r="N10" s="42">
        <f t="shared" si="3"/>
        <v>52.329836065573765</v>
      </c>
      <c r="O10" s="42">
        <f>+C45</f>
        <v>15.25</v>
      </c>
      <c r="P10" s="45">
        <f t="shared" si="4"/>
        <v>798.03</v>
      </c>
      <c r="Q10" s="30">
        <f t="shared" si="5"/>
        <v>0.23409836065570744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5592.882724388297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5592.882724388297</v>
      </c>
      <c r="G11" s="21">
        <f t="shared" si="6"/>
        <v>632.51924919294356</v>
      </c>
      <c r="H11" s="21">
        <f t="shared" si="6"/>
        <v>0</v>
      </c>
      <c r="I11" s="21">
        <f t="shared" si="6"/>
        <v>0</v>
      </c>
      <c r="J11" s="21">
        <f t="shared" si="6"/>
        <v>632.51924919294356</v>
      </c>
      <c r="K11" s="21">
        <f t="shared" si="6"/>
        <v>4960.3634751953532</v>
      </c>
      <c r="L11" s="27">
        <f t="shared" si="6"/>
        <v>5575.5793924699956</v>
      </c>
      <c r="M11" s="21">
        <f t="shared" si="6"/>
        <v>4945.3257209079129</v>
      </c>
      <c r="N11" s="21">
        <f t="shared" si="6"/>
        <v>632.51924919294356</v>
      </c>
      <c r="O11" s="21"/>
      <c r="P11" s="21">
        <f>SUM(P7:P10)</f>
        <v>6951.329999999999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632.51924919294356</v>
      </c>
      <c r="P14" s="65">
        <f>+P11</f>
        <v>6951.329999999999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169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1186.56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902.86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0.29999999999836291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190.01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190.01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4291.5104099999999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4667.6000000000004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13198.35/980</f>
        <v>13.467704081632654</v>
      </c>
      <c r="Q28" s="97">
        <f>+O8-P28</f>
        <v>2.3622959183673462</v>
      </c>
      <c r="S28" s="48">
        <f>+Q8*-1</f>
        <v>8.1629816803538233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7.1088709677419502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+'12-03-2025'!J34</f>
        <v>185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-0.23409836065570744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45731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185</v>
      </c>
      <c r="K34" s="118" t="s">
        <v>56</v>
      </c>
      <c r="L34" s="125">
        <v>2969.7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594.76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1697.9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591.79999999999995</v>
      </c>
      <c r="C36" s="136">
        <v>902.86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45731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2969.7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1186.56</v>
      </c>
      <c r="C38" s="153">
        <f>SUM(C35:C37)</f>
        <v>902.86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4667.6000000000004</v>
      </c>
      <c r="M38" s="161" t="s">
        <v>27</v>
      </c>
      <c r="N38" s="162" t="s">
        <v>116</v>
      </c>
      <c r="O38" s="163">
        <f>+L35</f>
        <v>1697.9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2089.42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4667.6000000000004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90.827542640555905</v>
      </c>
      <c r="C42" s="184">
        <v>15.83</v>
      </c>
      <c r="D42" s="185">
        <v>1437.8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142.1081989247312</v>
      </c>
      <c r="C43" s="184">
        <v>14.88</v>
      </c>
      <c r="D43" s="185">
        <v>2114.5700000000002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52.329836065573765</v>
      </c>
      <c r="C45" s="184">
        <v>15.25</v>
      </c>
      <c r="D45" s="185">
        <v>798.03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347.25367156208273</v>
      </c>
      <c r="C46" s="184">
        <v>7.49</v>
      </c>
      <c r="D46" s="185">
        <v>2600.9299999999998</v>
      </c>
      <c r="E46" s="186"/>
      <c r="F46" s="186"/>
      <c r="G46" s="183"/>
      <c r="H46" s="262">
        <f>(L34+B38+P21+P22+P20+L36)-SUM(D42:D45)+(P18+P19)</f>
        <v>-0.12999999999919964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632.51924919294356</v>
      </c>
      <c r="C47" s="216"/>
      <c r="D47" s="217">
        <f>SUM(D42:D46)</f>
        <v>6951.33</v>
      </c>
      <c r="E47" s="217">
        <v>6951.33</v>
      </c>
      <c r="F47" s="186"/>
      <c r="G47" s="183"/>
      <c r="H47" s="263">
        <f>(C36+L35+L37)-D46</f>
        <v>-0.16999999999961801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45732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75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+'15-03-2025'!K7</f>
        <v>1423.3257209079134</v>
      </c>
      <c r="C7" s="22">
        <f>L26+L27</f>
        <v>941.2930393856825</v>
      </c>
      <c r="D7" s="23"/>
      <c r="E7" s="23"/>
      <c r="F7" s="24">
        <f t="shared" ref="F7:F10" si="0">+B7+C7+D7+E7</f>
        <v>2364.6187602935961</v>
      </c>
      <c r="G7" s="25">
        <f>B46-H7</f>
        <v>216.64218958611482</v>
      </c>
      <c r="H7" s="22"/>
      <c r="I7" s="26"/>
      <c r="J7" s="21">
        <f t="shared" ref="J7:J10" si="1">+G7+H7+I7</f>
        <v>216.64218958611482</v>
      </c>
      <c r="K7" s="21">
        <f t="shared" ref="K7:K10" si="2">+F7-J7</f>
        <v>2147.9765707074812</v>
      </c>
      <c r="L7" s="27">
        <f>+'15-03-2025'!M7</f>
        <v>1423.3257209079134</v>
      </c>
      <c r="M7" s="28">
        <v>2147.9765707074812</v>
      </c>
      <c r="N7" s="24">
        <f t="shared" ref="N7:N10" si="3">+G7</f>
        <v>216.64218958611482</v>
      </c>
      <c r="O7" s="24">
        <f>+C46</f>
        <v>7.49</v>
      </c>
      <c r="P7" s="29">
        <f t="shared" ref="P7:P10" si="4">+N7*O7</f>
        <v>1622.65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+'15-03-2025'!K8</f>
        <v>1053.1629816803538</v>
      </c>
      <c r="C8" s="22">
        <f>L28</f>
        <v>0</v>
      </c>
      <c r="D8" s="33"/>
      <c r="E8" s="23"/>
      <c r="F8" s="24">
        <f t="shared" si="0"/>
        <v>1053.1629816803538</v>
      </c>
      <c r="G8" s="25">
        <f>+B42-H8</f>
        <v>65.303221730890712</v>
      </c>
      <c r="H8" s="22"/>
      <c r="I8" s="26"/>
      <c r="J8" s="21">
        <f t="shared" si="1"/>
        <v>65.303221730890712</v>
      </c>
      <c r="K8" s="21">
        <f t="shared" si="2"/>
        <v>987.85975994946307</v>
      </c>
      <c r="L8" s="27">
        <f>+'15-03-2025'!M8</f>
        <v>1045</v>
      </c>
      <c r="M8" s="28">
        <v>980</v>
      </c>
      <c r="N8" s="24">
        <f t="shared" si="3"/>
        <v>65.303221730890712</v>
      </c>
      <c r="O8" s="24">
        <f>+C42</f>
        <v>15.83</v>
      </c>
      <c r="P8" s="29">
        <f t="shared" si="4"/>
        <v>1033.75</v>
      </c>
      <c r="Q8" s="30">
        <f t="shared" si="5"/>
        <v>-7.8597599494630686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+'15-03-2025'!K9</f>
        <v>1222.108870967742</v>
      </c>
      <c r="C9" s="22">
        <f>L29</f>
        <v>0</v>
      </c>
      <c r="D9" s="33"/>
      <c r="E9" s="23"/>
      <c r="F9" s="24">
        <f t="shared" si="0"/>
        <v>1222.108870967742</v>
      </c>
      <c r="G9" s="25">
        <f>+B43-H9</f>
        <v>92.790322580645153</v>
      </c>
      <c r="H9" s="22"/>
      <c r="I9" s="26"/>
      <c r="J9" s="21">
        <f t="shared" si="1"/>
        <v>92.790322580645153</v>
      </c>
      <c r="K9" s="21">
        <f t="shared" si="2"/>
        <v>1129.3185483870968</v>
      </c>
      <c r="L9" s="27">
        <f>+'15-03-2025'!M9</f>
        <v>1215</v>
      </c>
      <c r="M9" s="28">
        <v>1120</v>
      </c>
      <c r="N9" s="24">
        <f t="shared" si="3"/>
        <v>92.790322580645153</v>
      </c>
      <c r="O9" s="24">
        <f>+C43</f>
        <v>14.88</v>
      </c>
      <c r="P9" s="29">
        <f t="shared" si="4"/>
        <v>1380.72</v>
      </c>
      <c r="Q9" s="30">
        <f t="shared" si="5"/>
        <v>-9.3185483870968255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+'15-03-2025'!K10</f>
        <v>1261.7659016393443</v>
      </c>
      <c r="C10" s="40">
        <f>L31</f>
        <v>0</v>
      </c>
      <c r="D10" s="41"/>
      <c r="E10" s="42"/>
      <c r="F10" s="24">
        <f t="shared" si="0"/>
        <v>1261.7659016393443</v>
      </c>
      <c r="G10" s="43">
        <f>+B45-H10</f>
        <v>27.925901639344264</v>
      </c>
      <c r="H10" s="40"/>
      <c r="I10" s="26"/>
      <c r="J10" s="44">
        <f t="shared" si="1"/>
        <v>27.925901639344264</v>
      </c>
      <c r="K10" s="44">
        <f t="shared" si="2"/>
        <v>1233.8399999999999</v>
      </c>
      <c r="L10" s="27">
        <f>+'15-03-2025'!M10</f>
        <v>1262</v>
      </c>
      <c r="M10" s="28">
        <v>1235</v>
      </c>
      <c r="N10" s="42">
        <f t="shared" si="3"/>
        <v>27.925901639344264</v>
      </c>
      <c r="O10" s="42">
        <f>+C45</f>
        <v>15.25</v>
      </c>
      <c r="P10" s="45">
        <f t="shared" si="4"/>
        <v>425.87</v>
      </c>
      <c r="Q10" s="30">
        <f t="shared" si="5"/>
        <v>1.1600000000000819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4960.3634751953532</v>
      </c>
      <c r="C11" s="21">
        <f t="shared" si="6"/>
        <v>941.2930393856825</v>
      </c>
      <c r="D11" s="21">
        <f t="shared" si="6"/>
        <v>0</v>
      </c>
      <c r="E11" s="21">
        <f t="shared" si="6"/>
        <v>0</v>
      </c>
      <c r="F11" s="21">
        <f t="shared" si="6"/>
        <v>5901.6565145810364</v>
      </c>
      <c r="G11" s="21">
        <f t="shared" si="6"/>
        <v>402.66163553699494</v>
      </c>
      <c r="H11" s="21">
        <f t="shared" si="6"/>
        <v>0</v>
      </c>
      <c r="I11" s="21">
        <f t="shared" si="6"/>
        <v>0</v>
      </c>
      <c r="J11" s="21">
        <f t="shared" si="6"/>
        <v>402.66163553699494</v>
      </c>
      <c r="K11" s="21">
        <f t="shared" si="6"/>
        <v>5498.9948790440412</v>
      </c>
      <c r="L11" s="27">
        <f t="shared" si="6"/>
        <v>4945.3257209079129</v>
      </c>
      <c r="M11" s="21">
        <f t="shared" si="6"/>
        <v>5482.9765707074812</v>
      </c>
      <c r="N11" s="21">
        <f t="shared" si="6"/>
        <v>402.66163553699494</v>
      </c>
      <c r="O11" s="21"/>
      <c r="P11" s="21">
        <f>SUM(P7:P10)</f>
        <v>4462.99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402.66163553699494</v>
      </c>
      <c r="P14" s="65">
        <f>+P11</f>
        <v>4462.99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172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631.17999999999995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451.14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0.21000000000003638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54.86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54.86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4156.3604099999993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3321.6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941.2930393856825</v>
      </c>
      <c r="M26" s="93" t="s">
        <v>171</v>
      </c>
      <c r="N26" s="94" t="s">
        <v>156</v>
      </c>
      <c r="O26" s="95" t="s">
        <v>144</v>
      </c>
      <c r="P26" s="96" t="str">
        <f>+I42&amp;"   "&amp;"kg"</f>
        <v>1900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13198.35/980</f>
        <v>13.467704081632654</v>
      </c>
      <c r="Q28" s="97">
        <f>+O8-P28</f>
        <v>2.3622959183673462</v>
      </c>
      <c r="S28" s="48">
        <f>+Q8*-1</f>
        <v>7.8597599494630686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9.3185483870968255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+'12-03-2025'!J34</f>
        <v>185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-1.1600000000000819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45732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185</v>
      </c>
      <c r="K34" s="118" t="s">
        <v>56</v>
      </c>
      <c r="L34" s="125">
        <v>2150.1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530.17999999999995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1171.5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101</v>
      </c>
      <c r="C36" s="136">
        <v>451.14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45732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2150.1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631.17999999999995</v>
      </c>
      <c r="C38" s="153">
        <f>SUM(C35:C37)</f>
        <v>451.14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3321.6</v>
      </c>
      <c r="M38" s="161" t="s">
        <v>27</v>
      </c>
      <c r="N38" s="162" t="s">
        <v>116</v>
      </c>
      <c r="O38" s="163">
        <f>+L35</f>
        <v>1171.5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1082.32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3321.6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65.303221730890712</v>
      </c>
      <c r="C42" s="184">
        <v>15.83</v>
      </c>
      <c r="D42" s="185">
        <v>1033.75</v>
      </c>
      <c r="E42" s="186"/>
      <c r="F42" s="186"/>
      <c r="G42" s="183"/>
      <c r="H42" s="187" t="s">
        <v>124</v>
      </c>
      <c r="I42" s="188" t="s">
        <v>170</v>
      </c>
      <c r="J42" s="189">
        <v>2.0185</v>
      </c>
      <c r="K42" s="190">
        <f>+I42/J42</f>
        <v>941.2930393856825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92.790322580645153</v>
      </c>
      <c r="C43" s="184">
        <v>14.88</v>
      </c>
      <c r="D43" s="185">
        <v>1380.72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27.925901639344264</v>
      </c>
      <c r="C45" s="184">
        <v>15.25</v>
      </c>
      <c r="D45" s="185">
        <v>425.87</v>
      </c>
      <c r="E45" s="186"/>
      <c r="F45" s="186"/>
      <c r="G45" s="183"/>
      <c r="H45" s="206" t="s">
        <v>130</v>
      </c>
      <c r="I45" s="207">
        <f>+K45/J45</f>
        <v>3.475958878016089</v>
      </c>
      <c r="J45" s="208">
        <f>+J43</f>
        <v>3.7854000000000001</v>
      </c>
      <c r="K45" s="209">
        <f>+L45/I42</f>
        <v>13.157894736842104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216.64218958611482</v>
      </c>
      <c r="C46" s="184">
        <v>7.49</v>
      </c>
      <c r="D46" s="185">
        <v>1622.65</v>
      </c>
      <c r="E46" s="186"/>
      <c r="F46" s="186"/>
      <c r="G46" s="183"/>
      <c r="H46" s="262">
        <f>(L34+B38+P21+P22+P20+L36)-SUM(D42:D45)+(P18+P19)</f>
        <v>-0.20000000000027285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402.66163553699494</v>
      </c>
      <c r="C47" s="216"/>
      <c r="D47" s="217">
        <f>SUM(D42:D46)</f>
        <v>4462.99</v>
      </c>
      <c r="E47" s="217">
        <v>4462.99</v>
      </c>
      <c r="F47" s="186"/>
      <c r="G47" s="183"/>
      <c r="H47" s="263">
        <f>(C36+L35+L37)-D46</f>
        <v>-1.0000000000218279E-2</v>
      </c>
      <c r="I47" s="220" t="s">
        <v>88</v>
      </c>
      <c r="J47" s="221" t="s">
        <v>135</v>
      </c>
      <c r="K47" s="222">
        <v>2.0185</v>
      </c>
      <c r="L47" s="223">
        <f>+K45-K43</f>
        <v>5.6678947368421042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45733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76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+'16-03-2025'!K7</f>
        <v>2147.9765707074812</v>
      </c>
      <c r="C7" s="22">
        <f>L26+L27</f>
        <v>0</v>
      </c>
      <c r="D7" s="23"/>
      <c r="E7" s="23"/>
      <c r="F7" s="24">
        <f t="shared" ref="F7:F10" si="0">+B7+C7+D7+E7</f>
        <v>2147.9765707074812</v>
      </c>
      <c r="G7" s="25">
        <f>B46-H7</f>
        <v>261.63818424566091</v>
      </c>
      <c r="H7" s="22"/>
      <c r="I7" s="26"/>
      <c r="J7" s="21">
        <f t="shared" ref="J7:J10" si="1">+G7+H7+I7</f>
        <v>261.63818424566091</v>
      </c>
      <c r="K7" s="21">
        <f t="shared" ref="K7:K10" si="2">+F7-J7</f>
        <v>1886.3383864618204</v>
      </c>
      <c r="L7" s="27">
        <f>+'16-03-2025'!M7</f>
        <v>2147.9765707074812</v>
      </c>
      <c r="M7" s="28">
        <v>1886.3383864618204</v>
      </c>
      <c r="N7" s="24">
        <f t="shared" ref="N7:N10" si="3">+G7</f>
        <v>261.63818424566091</v>
      </c>
      <c r="O7" s="24">
        <f>+C46</f>
        <v>7.49</v>
      </c>
      <c r="P7" s="29">
        <f t="shared" ref="P7:P10" si="4">+N7*O7</f>
        <v>1959.6700000000003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+'16-03-2025'!K8</f>
        <v>987.85975994946307</v>
      </c>
      <c r="C8" s="22">
        <f>L28</f>
        <v>0</v>
      </c>
      <c r="D8" s="33"/>
      <c r="E8" s="23"/>
      <c r="F8" s="24">
        <f t="shared" si="0"/>
        <v>987.85975994946307</v>
      </c>
      <c r="G8" s="25">
        <f>+B42-H8</f>
        <v>87.849652558433363</v>
      </c>
      <c r="H8" s="22"/>
      <c r="I8" s="26"/>
      <c r="J8" s="21">
        <f t="shared" si="1"/>
        <v>87.849652558433363</v>
      </c>
      <c r="K8" s="21">
        <f t="shared" si="2"/>
        <v>900.01010739102969</v>
      </c>
      <c r="L8" s="27">
        <f>+'16-03-2025'!M8</f>
        <v>980</v>
      </c>
      <c r="M8" s="28">
        <v>895</v>
      </c>
      <c r="N8" s="24">
        <f t="shared" si="3"/>
        <v>87.849652558433363</v>
      </c>
      <c r="O8" s="24">
        <f>+C42</f>
        <v>15.83</v>
      </c>
      <c r="P8" s="29">
        <f t="shared" si="4"/>
        <v>1390.66</v>
      </c>
      <c r="Q8" s="30">
        <f t="shared" si="5"/>
        <v>-5.0101073910296918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+'16-03-2025'!K9</f>
        <v>1129.3185483870968</v>
      </c>
      <c r="C9" s="22">
        <f>L29</f>
        <v>0</v>
      </c>
      <c r="D9" s="33"/>
      <c r="E9" s="23"/>
      <c r="F9" s="24">
        <f t="shared" si="0"/>
        <v>1129.3185483870968</v>
      </c>
      <c r="G9" s="25">
        <f>+B43-H9</f>
        <v>148.02083333333334</v>
      </c>
      <c r="H9" s="22"/>
      <c r="I9" s="26"/>
      <c r="J9" s="21">
        <f t="shared" si="1"/>
        <v>148.02083333333334</v>
      </c>
      <c r="K9" s="21">
        <f t="shared" si="2"/>
        <v>981.29771505376345</v>
      </c>
      <c r="L9" s="27">
        <f>+'16-03-2025'!M9</f>
        <v>1120</v>
      </c>
      <c r="M9" s="28">
        <v>975</v>
      </c>
      <c r="N9" s="24">
        <f t="shared" si="3"/>
        <v>148.02083333333334</v>
      </c>
      <c r="O9" s="24">
        <f>+C43</f>
        <v>14.88</v>
      </c>
      <c r="P9" s="29">
        <f t="shared" si="4"/>
        <v>2202.5500000000002</v>
      </c>
      <c r="Q9" s="30">
        <f t="shared" si="5"/>
        <v>-6.2977150537634543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+'16-03-2025'!K10</f>
        <v>1233.8399999999999</v>
      </c>
      <c r="C10" s="40">
        <f>L31</f>
        <v>0</v>
      </c>
      <c r="D10" s="41"/>
      <c r="E10" s="42"/>
      <c r="F10" s="24">
        <f t="shared" si="0"/>
        <v>1233.8399999999999</v>
      </c>
      <c r="G10" s="43">
        <f>+B45-H10</f>
        <v>119.89770491803279</v>
      </c>
      <c r="H10" s="40"/>
      <c r="I10" s="26"/>
      <c r="J10" s="44">
        <f t="shared" si="1"/>
        <v>119.89770491803279</v>
      </c>
      <c r="K10" s="44">
        <f t="shared" si="2"/>
        <v>1113.9422950819671</v>
      </c>
      <c r="L10" s="27">
        <f>+'16-03-2025'!M10</f>
        <v>1235</v>
      </c>
      <c r="M10" s="28">
        <v>1115</v>
      </c>
      <c r="N10" s="42">
        <f t="shared" si="3"/>
        <v>119.89770491803279</v>
      </c>
      <c r="O10" s="42">
        <f>+C45</f>
        <v>15.25</v>
      </c>
      <c r="P10" s="45">
        <f t="shared" si="4"/>
        <v>1828.44</v>
      </c>
      <c r="Q10" s="30">
        <f t="shared" si="5"/>
        <v>1.0577049180328686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5498.9948790440412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5498.9948790440412</v>
      </c>
      <c r="G11" s="21">
        <f t="shared" si="6"/>
        <v>617.40637505546044</v>
      </c>
      <c r="H11" s="21">
        <f t="shared" si="6"/>
        <v>0</v>
      </c>
      <c r="I11" s="21">
        <f t="shared" si="6"/>
        <v>0</v>
      </c>
      <c r="J11" s="21">
        <f t="shared" si="6"/>
        <v>617.40637505546044</v>
      </c>
      <c r="K11" s="21">
        <f t="shared" si="6"/>
        <v>4881.5885039885807</v>
      </c>
      <c r="L11" s="27">
        <f t="shared" si="6"/>
        <v>5482.9765707074812</v>
      </c>
      <c r="M11" s="21">
        <f t="shared" si="6"/>
        <v>4871.3383864618208</v>
      </c>
      <c r="N11" s="21">
        <f t="shared" si="6"/>
        <v>617.40637505546044</v>
      </c>
      <c r="O11" s="21"/>
      <c r="P11" s="21">
        <f>SUM(P7:P10)</f>
        <v>7381.3200000000015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617.40637505546044</v>
      </c>
      <c r="P14" s="65">
        <f>+P11</f>
        <v>7381.3200000000015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1639.4699999999998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283.87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0.12120000000231812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363.09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7.8688000000000002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563.08999999999992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>
        <v>39.344000000000001</v>
      </c>
      <c r="F23" s="60">
        <v>0.2</v>
      </c>
      <c r="G23" s="61">
        <f t="shared" si="7"/>
        <v>7.8688000000000002</v>
      </c>
      <c r="H23" s="71" t="s">
        <v>173</v>
      </c>
      <c r="I23" s="79" t="s">
        <v>76</v>
      </c>
      <c r="J23" s="80">
        <f>+J19+J20-J22</f>
        <v>4464.5904099999998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4886.8999999999996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13198.35/980</f>
        <v>13.467704081632654</v>
      </c>
      <c r="Q28" s="97">
        <f>+O8-P28</f>
        <v>2.3622959183673462</v>
      </c>
      <c r="S28" s="48">
        <f>+Q8*-1</f>
        <v>5.0101073910296918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6.2977150537634543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+'12-03-2025'!J34</f>
        <v>185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7.8688000000000002</v>
      </c>
      <c r="H31" s="104"/>
      <c r="I31" s="74" t="s">
        <v>96</v>
      </c>
      <c r="J31" s="105">
        <v>200</v>
      </c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-1.0577049180328686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45733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-15</v>
      </c>
      <c r="K34" s="118" t="s">
        <v>56</v>
      </c>
      <c r="L34" s="125">
        <v>3211.2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1047.83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1675.7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591.64</v>
      </c>
      <c r="C36" s="136">
        <v>283.87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45733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3211.2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1639.4699999999998</v>
      </c>
      <c r="C38" s="153">
        <f>SUM(C35:C37)</f>
        <v>283.87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4886.8999999999996</v>
      </c>
      <c r="M38" s="161" t="s">
        <v>27</v>
      </c>
      <c r="N38" s="162" t="s">
        <v>116</v>
      </c>
      <c r="O38" s="163">
        <f>+L35</f>
        <v>1675.7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1923.3399999999997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4886.8999999999996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87.849652558433363</v>
      </c>
      <c r="C42" s="184">
        <v>15.83</v>
      </c>
      <c r="D42" s="185">
        <v>1390.66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148.02083333333334</v>
      </c>
      <c r="C43" s="184">
        <v>14.88</v>
      </c>
      <c r="D43" s="185">
        <v>2202.5500000000002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119.89770491803279</v>
      </c>
      <c r="C45" s="184">
        <v>15.25</v>
      </c>
      <c r="D45" s="185">
        <v>1828.44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261.63818424566091</v>
      </c>
      <c r="C46" s="184">
        <v>7.49</v>
      </c>
      <c r="D46" s="185">
        <v>1959.67</v>
      </c>
      <c r="E46" s="186"/>
      <c r="F46" s="186"/>
      <c r="G46" s="183"/>
      <c r="H46" s="262">
        <f>(L34+B38+P21+P22+P20+L36)-SUM(D42:D45)+(P18+P19)</f>
        <v>-2.1199999999225838E-2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617.40637505546033</v>
      </c>
      <c r="C47" s="216"/>
      <c r="D47" s="217">
        <f>SUM(D42:D46)</f>
        <v>7381.32</v>
      </c>
      <c r="E47" s="217">
        <v>7381.32</v>
      </c>
      <c r="F47" s="186"/>
      <c r="G47" s="183"/>
      <c r="H47" s="263">
        <f>(C36+L35+L37)-D46</f>
        <v>-9.9999999999909051E-2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45734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77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+'17-03-2025'!K7</f>
        <v>1886.3383864618204</v>
      </c>
      <c r="C7" s="22">
        <f>L26+L27</f>
        <v>0</v>
      </c>
      <c r="D7" s="23"/>
      <c r="E7" s="23"/>
      <c r="F7" s="24">
        <f t="shared" ref="F7:F10" si="0">+B7+C7+D7+E7</f>
        <v>1886.3383864618204</v>
      </c>
      <c r="G7" s="25">
        <f>B46-H7</f>
        <v>275.69826435246995</v>
      </c>
      <c r="H7" s="22"/>
      <c r="I7" s="26"/>
      <c r="J7" s="21">
        <f t="shared" ref="J7:J10" si="1">+G7+H7+I7</f>
        <v>275.69826435246995</v>
      </c>
      <c r="K7" s="21">
        <f t="shared" ref="K7:K10" si="2">+F7-J7</f>
        <v>1610.6401221093504</v>
      </c>
      <c r="L7" s="27">
        <f>+'17-03-2025'!M7</f>
        <v>1886.3383864618204</v>
      </c>
      <c r="M7" s="28">
        <v>1610.6401221093504</v>
      </c>
      <c r="N7" s="24">
        <f t="shared" ref="N7:N10" si="3">+G7</f>
        <v>275.69826435246995</v>
      </c>
      <c r="O7" s="24">
        <f>+C46</f>
        <v>7.49</v>
      </c>
      <c r="P7" s="29">
        <f t="shared" ref="P7:P10" si="4">+N7*O7</f>
        <v>2064.98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+'17-03-2025'!K8</f>
        <v>900.01010739102969</v>
      </c>
      <c r="C8" s="22">
        <f>L28</f>
        <v>0</v>
      </c>
      <c r="D8" s="33"/>
      <c r="E8" s="23"/>
      <c r="F8" s="24">
        <f t="shared" si="0"/>
        <v>900.01010739102969</v>
      </c>
      <c r="G8" s="25">
        <f>+B42-H8</f>
        <v>104.80669614655716</v>
      </c>
      <c r="H8" s="22"/>
      <c r="I8" s="26"/>
      <c r="J8" s="21">
        <f t="shared" si="1"/>
        <v>104.80669614655716</v>
      </c>
      <c r="K8" s="21">
        <f t="shared" si="2"/>
        <v>795.20341124447259</v>
      </c>
      <c r="L8" s="27">
        <f>+'17-03-2025'!M8</f>
        <v>895</v>
      </c>
      <c r="M8" s="28">
        <v>790</v>
      </c>
      <c r="N8" s="24">
        <f t="shared" si="3"/>
        <v>104.80669614655716</v>
      </c>
      <c r="O8" s="24">
        <f>+C42</f>
        <v>15.83</v>
      </c>
      <c r="P8" s="29">
        <f t="shared" si="4"/>
        <v>1659.09</v>
      </c>
      <c r="Q8" s="30">
        <f t="shared" si="5"/>
        <v>-5.2034112444725906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+'17-03-2025'!K9</f>
        <v>981.29771505376345</v>
      </c>
      <c r="C9" s="22">
        <f>L29</f>
        <v>0</v>
      </c>
      <c r="D9" s="33"/>
      <c r="E9" s="23"/>
      <c r="F9" s="24">
        <f t="shared" si="0"/>
        <v>981.29771505376345</v>
      </c>
      <c r="G9" s="25">
        <f>+B43-H9</f>
        <v>159.18548387096772</v>
      </c>
      <c r="H9" s="22"/>
      <c r="I9" s="26"/>
      <c r="J9" s="21">
        <f t="shared" si="1"/>
        <v>159.18548387096772</v>
      </c>
      <c r="K9" s="21">
        <f t="shared" si="2"/>
        <v>822.11223118279577</v>
      </c>
      <c r="L9" s="27">
        <f>+'17-03-2025'!M9</f>
        <v>975</v>
      </c>
      <c r="M9" s="28">
        <v>810</v>
      </c>
      <c r="N9" s="24">
        <f t="shared" si="3"/>
        <v>159.18548387096772</v>
      </c>
      <c r="O9" s="24">
        <f>+C43</f>
        <v>14.88</v>
      </c>
      <c r="P9" s="29">
        <f t="shared" si="4"/>
        <v>2368.6799999999998</v>
      </c>
      <c r="Q9" s="30">
        <f t="shared" si="5"/>
        <v>-12.112231182795767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+'17-03-2025'!K10</f>
        <v>1113.9422950819671</v>
      </c>
      <c r="C10" s="40">
        <f>L31</f>
        <v>0</v>
      </c>
      <c r="D10" s="41"/>
      <c r="E10" s="42"/>
      <c r="F10" s="24">
        <f t="shared" si="0"/>
        <v>1113.9422950819671</v>
      </c>
      <c r="G10" s="43">
        <f>+B45-H10</f>
        <v>97.190819672131155</v>
      </c>
      <c r="H10" s="40"/>
      <c r="I10" s="26"/>
      <c r="J10" s="44">
        <f t="shared" si="1"/>
        <v>97.190819672131155</v>
      </c>
      <c r="K10" s="44">
        <f t="shared" si="2"/>
        <v>1016.751475409836</v>
      </c>
      <c r="L10" s="27">
        <f>+'17-03-2025'!M10</f>
        <v>1115</v>
      </c>
      <c r="M10" s="28">
        <v>1017</v>
      </c>
      <c r="N10" s="42">
        <f t="shared" si="3"/>
        <v>97.190819672131155</v>
      </c>
      <c r="O10" s="42">
        <f>+C45</f>
        <v>15.25</v>
      </c>
      <c r="P10" s="45">
        <f t="shared" si="4"/>
        <v>1482.16</v>
      </c>
      <c r="Q10" s="30">
        <f t="shared" si="5"/>
        <v>0.24852459016403827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4881.5885039885807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4881.5885039885807</v>
      </c>
      <c r="G11" s="21">
        <f t="shared" si="6"/>
        <v>636.88126404212596</v>
      </c>
      <c r="H11" s="21">
        <f t="shared" si="6"/>
        <v>0</v>
      </c>
      <c r="I11" s="21">
        <f t="shared" si="6"/>
        <v>0</v>
      </c>
      <c r="J11" s="21">
        <f t="shared" si="6"/>
        <v>636.88126404212596</v>
      </c>
      <c r="K11" s="21">
        <f t="shared" si="6"/>
        <v>4244.7072399464541</v>
      </c>
      <c r="L11" s="27">
        <f t="shared" si="6"/>
        <v>4871.3383864618208</v>
      </c>
      <c r="M11" s="21">
        <f t="shared" si="6"/>
        <v>4227.6401221093502</v>
      </c>
      <c r="N11" s="21">
        <f t="shared" si="6"/>
        <v>636.88126404212596</v>
      </c>
      <c r="O11" s="21"/>
      <c r="P11" s="21">
        <f>SUM(P7:P10)</f>
        <v>7574.91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636.88126404212596</v>
      </c>
      <c r="P14" s="65">
        <f>+P11</f>
        <v>7574.91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174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2047.56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523.52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0.32999999999992724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 t="s">
        <v>175</v>
      </c>
      <c r="N18" s="360"/>
      <c r="O18" s="361"/>
      <c r="P18" s="69">
        <v>3193.3</v>
      </c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1806.1999999999998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13198.35/980</f>
        <v>13.467704081632654</v>
      </c>
      <c r="Q28" s="97">
        <f>+O8-P28</f>
        <v>2.3622959183673462</v>
      </c>
      <c r="S28" s="48">
        <f>+Q8*-1</f>
        <v>5.2034112444725906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12.112231182795767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+'17-03-2025'!J34</f>
        <v>-15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-0.24852459016403827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45734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-15</v>
      </c>
      <c r="K34" s="118" t="s">
        <v>56</v>
      </c>
      <c r="L34" s="125">
        <v>264.89999999999998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937.7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1541.3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1109.8599999999999</v>
      </c>
      <c r="C36" s="136">
        <v>523.52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45734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264.89999999999998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2047.56</v>
      </c>
      <c r="C38" s="153">
        <f>SUM(C35:C37)</f>
        <v>523.52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1806.1999999999998</v>
      </c>
      <c r="M38" s="161" t="s">
        <v>27</v>
      </c>
      <c r="N38" s="162" t="s">
        <v>116</v>
      </c>
      <c r="O38" s="163">
        <f>+L35</f>
        <v>1541.3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2571.08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1806.1999999999998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104.80669614655716</v>
      </c>
      <c r="C42" s="184">
        <v>15.83</v>
      </c>
      <c r="D42" s="185">
        <v>1659.09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159.18548387096772</v>
      </c>
      <c r="C43" s="184">
        <v>14.88</v>
      </c>
      <c r="D43" s="185">
        <v>2368.6799999999998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97.190819672131155</v>
      </c>
      <c r="C45" s="184">
        <v>15.25</v>
      </c>
      <c r="D45" s="185">
        <v>1482.16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275.69826435246995</v>
      </c>
      <c r="C46" s="184">
        <v>7.49</v>
      </c>
      <c r="D46" s="185">
        <v>2064.98</v>
      </c>
      <c r="E46" s="186"/>
      <c r="F46" s="186"/>
      <c r="G46" s="183"/>
      <c r="H46" s="262">
        <f>(L34+B38+P21+P22+P20+L36)-SUM(D42:D45)+(P18+P19)</f>
        <v>-0.16999999999916326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636.88126404212608</v>
      </c>
      <c r="C47" s="216"/>
      <c r="D47" s="217">
        <f>SUM(D42:D46)</f>
        <v>7574.91</v>
      </c>
      <c r="E47" s="217">
        <v>7574.91</v>
      </c>
      <c r="F47" s="186"/>
      <c r="G47" s="183"/>
      <c r="H47" s="263">
        <f>(C36+L35+L37)-D46</f>
        <v>-0.16000000000030923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45735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78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+'18-03-2025'!K7</f>
        <v>1610.6401221093504</v>
      </c>
      <c r="C7" s="22">
        <f>L26+L27</f>
        <v>0</v>
      </c>
      <c r="D7" s="23"/>
      <c r="E7" s="23"/>
      <c r="F7" s="24">
        <f t="shared" ref="F7:F10" si="0">+B7+C7+D7+E7</f>
        <v>1610.6401221093504</v>
      </c>
      <c r="G7" s="25">
        <f>B46-H7</f>
        <v>164.12683578104136</v>
      </c>
      <c r="H7" s="22"/>
      <c r="I7" s="26"/>
      <c r="J7" s="21">
        <f t="shared" ref="J7:J10" si="1">+G7+H7+I7</f>
        <v>164.12683578104136</v>
      </c>
      <c r="K7" s="21">
        <f t="shared" ref="K7:K10" si="2">+F7-J7</f>
        <v>1446.5132863283091</v>
      </c>
      <c r="L7" s="27">
        <f>+'18-03-2025'!M7</f>
        <v>1610.6401221093504</v>
      </c>
      <c r="M7" s="28">
        <v>1446.5132863283091</v>
      </c>
      <c r="N7" s="24">
        <f t="shared" ref="N7:N10" si="3">+G7</f>
        <v>164.12683578104136</v>
      </c>
      <c r="O7" s="24">
        <f>+C46</f>
        <v>7.49</v>
      </c>
      <c r="P7" s="29">
        <f t="shared" ref="P7:P10" si="4">+N7*O7</f>
        <v>1229.31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+'18-03-2025'!K8</f>
        <v>795.20341124447259</v>
      </c>
      <c r="C8" s="22">
        <f>L28</f>
        <v>500</v>
      </c>
      <c r="D8" s="33"/>
      <c r="E8" s="23"/>
      <c r="F8" s="24">
        <f t="shared" si="0"/>
        <v>1295.2034112444726</v>
      </c>
      <c r="G8" s="25">
        <f>+B42-H8</f>
        <v>82.745396825396824</v>
      </c>
      <c r="H8" s="22"/>
      <c r="I8" s="26"/>
      <c r="J8" s="21">
        <f t="shared" si="1"/>
        <v>82.745396825396824</v>
      </c>
      <c r="K8" s="21">
        <f t="shared" si="2"/>
        <v>1212.4580144190759</v>
      </c>
      <c r="L8" s="27">
        <f>+'18-03-2025'!M8</f>
        <v>790</v>
      </c>
      <c r="M8" s="28">
        <v>1205</v>
      </c>
      <c r="N8" s="24">
        <f t="shared" si="3"/>
        <v>82.745396825396824</v>
      </c>
      <c r="O8" s="24">
        <f>+C42</f>
        <v>15.75</v>
      </c>
      <c r="P8" s="29">
        <f t="shared" si="4"/>
        <v>1303.24</v>
      </c>
      <c r="Q8" s="30">
        <f t="shared" si="5"/>
        <v>-7.4580144190758801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+'18-03-2025'!K9</f>
        <v>822.11223118279577</v>
      </c>
      <c r="C9" s="22">
        <f>L29</f>
        <v>500</v>
      </c>
      <c r="D9" s="33"/>
      <c r="E9" s="23"/>
      <c r="F9" s="24">
        <f t="shared" si="0"/>
        <v>1322.1122311827958</v>
      </c>
      <c r="G9" s="25">
        <f>+B43-H9</f>
        <v>177.94305084745761</v>
      </c>
      <c r="H9" s="22"/>
      <c r="I9" s="26"/>
      <c r="J9" s="21">
        <f t="shared" si="1"/>
        <v>177.94305084745761</v>
      </c>
      <c r="K9" s="21">
        <f t="shared" si="2"/>
        <v>1144.1691803353381</v>
      </c>
      <c r="L9" s="27">
        <f>+'18-03-2025'!M9</f>
        <v>810</v>
      </c>
      <c r="M9" s="28">
        <v>1135</v>
      </c>
      <c r="N9" s="24">
        <f t="shared" si="3"/>
        <v>177.94305084745761</v>
      </c>
      <c r="O9" s="24">
        <f>+C43</f>
        <v>14.75</v>
      </c>
      <c r="P9" s="29">
        <f t="shared" si="4"/>
        <v>2624.66</v>
      </c>
      <c r="Q9" s="30">
        <f t="shared" si="5"/>
        <v>-9.1691803353380692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+'18-03-2025'!K10</f>
        <v>1016.751475409836</v>
      </c>
      <c r="C10" s="40">
        <f>L31</f>
        <v>500</v>
      </c>
      <c r="D10" s="41"/>
      <c r="E10" s="42"/>
      <c r="F10" s="24">
        <f t="shared" si="0"/>
        <v>1516.7514754098361</v>
      </c>
      <c r="G10" s="43">
        <f>+B45-H10</f>
        <v>76.013253810470502</v>
      </c>
      <c r="H10" s="40"/>
      <c r="I10" s="26"/>
      <c r="J10" s="44">
        <f t="shared" si="1"/>
        <v>76.013253810470502</v>
      </c>
      <c r="K10" s="44">
        <f t="shared" si="2"/>
        <v>1440.7382215993655</v>
      </c>
      <c r="L10" s="27">
        <f>+'18-03-2025'!M10</f>
        <v>1017</v>
      </c>
      <c r="M10" s="28">
        <v>1442</v>
      </c>
      <c r="N10" s="42">
        <f t="shared" si="3"/>
        <v>76.013253810470502</v>
      </c>
      <c r="O10" s="42">
        <f>+C45</f>
        <v>15.09</v>
      </c>
      <c r="P10" s="45">
        <f t="shared" si="4"/>
        <v>1147.04</v>
      </c>
      <c r="Q10" s="30">
        <f t="shared" si="5"/>
        <v>1.2617784006345119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4244.7072399464541</v>
      </c>
      <c r="C11" s="21">
        <f t="shared" si="6"/>
        <v>1500</v>
      </c>
      <c r="D11" s="21">
        <f t="shared" si="6"/>
        <v>0</v>
      </c>
      <c r="E11" s="21">
        <f t="shared" si="6"/>
        <v>0</v>
      </c>
      <c r="F11" s="21">
        <f t="shared" si="6"/>
        <v>5744.7072399464541</v>
      </c>
      <c r="G11" s="21">
        <f t="shared" si="6"/>
        <v>500.82853726436633</v>
      </c>
      <c r="H11" s="21">
        <f t="shared" si="6"/>
        <v>0</v>
      </c>
      <c r="I11" s="21">
        <f t="shared" si="6"/>
        <v>0</v>
      </c>
      <c r="J11" s="21">
        <f t="shared" si="6"/>
        <v>500.82853726436633</v>
      </c>
      <c r="K11" s="21">
        <f t="shared" si="6"/>
        <v>5243.8787026820883</v>
      </c>
      <c r="L11" s="27">
        <f t="shared" si="6"/>
        <v>4227.6401221093502</v>
      </c>
      <c r="M11" s="21">
        <f t="shared" si="6"/>
        <v>5228.5132863283088</v>
      </c>
      <c r="N11" s="21">
        <f t="shared" si="6"/>
        <v>500.82853726436633</v>
      </c>
      <c r="O11" s="21"/>
      <c r="P11" s="21">
        <f>SUM(P7:P10)</f>
        <v>6304.25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500.82853726436633</v>
      </c>
      <c r="P14" s="65">
        <f>+P11</f>
        <v>6304.25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176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1665.24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497.15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0.16000000000076398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377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427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4478.5004099999996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3710.6999999999994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>
        <v>500</v>
      </c>
      <c r="M28" s="94" t="s">
        <v>177</v>
      </c>
      <c r="N28" s="94" t="s">
        <v>178</v>
      </c>
      <c r="O28" s="95" t="s">
        <v>89</v>
      </c>
      <c r="P28" s="100">
        <f>6555.25/500</f>
        <v>13.1105</v>
      </c>
      <c r="Q28" s="97">
        <f>+O8-P28</f>
        <v>2.6395</v>
      </c>
      <c r="S28" s="48">
        <f>+Q8*-1</f>
        <v>7.4580144190758801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>
        <v>500</v>
      </c>
      <c r="M29" s="94" t="s">
        <v>177</v>
      </c>
      <c r="N29" s="94" t="s">
        <v>178</v>
      </c>
      <c r="O29" s="95" t="s">
        <v>89</v>
      </c>
      <c r="P29" s="100">
        <f>6006.08/500</f>
        <v>12.01216</v>
      </c>
      <c r="Q29" s="97">
        <f>+O9-P29</f>
        <v>2.7378400000000003</v>
      </c>
      <c r="S29" s="48">
        <f>+Q9*-1</f>
        <v>9.1691803353380692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+'17-03-2025'!J34</f>
        <v>-15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>
        <v>50</v>
      </c>
      <c r="K31" s="106" t="s">
        <v>31</v>
      </c>
      <c r="L31" s="92">
        <v>500</v>
      </c>
      <c r="M31" s="94" t="s">
        <v>179</v>
      </c>
      <c r="N31" s="94" t="s">
        <v>178</v>
      </c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-1.2617784006345119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45735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-65</v>
      </c>
      <c r="K34" s="118" t="s">
        <v>56</v>
      </c>
      <c r="L34" s="125">
        <v>2978.6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1015.53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732.1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649.71</v>
      </c>
      <c r="C36" s="136">
        <v>497.15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45735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2978.6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1665.24</v>
      </c>
      <c r="C38" s="153">
        <f>SUM(C35:C37)</f>
        <v>497.15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3710.7</v>
      </c>
      <c r="M38" s="161" t="s">
        <v>27</v>
      </c>
      <c r="N38" s="162" t="s">
        <v>116</v>
      </c>
      <c r="O38" s="163">
        <f>+L35</f>
        <v>732.1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2162.39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3710.7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82.745396825396824</v>
      </c>
      <c r="C42" s="184">
        <v>15.75</v>
      </c>
      <c r="D42" s="185">
        <v>1303.24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177.94305084745761</v>
      </c>
      <c r="C43" s="184">
        <v>14.75</v>
      </c>
      <c r="D43" s="185">
        <v>2624.66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76.013253810470502</v>
      </c>
      <c r="C45" s="184">
        <v>15.09</v>
      </c>
      <c r="D45" s="185">
        <v>1147.04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164.12683578104136</v>
      </c>
      <c r="C46" s="184">
        <v>7.49</v>
      </c>
      <c r="D46" s="185">
        <v>1229.31</v>
      </c>
      <c r="E46" s="186"/>
      <c r="F46" s="186"/>
      <c r="G46" s="183"/>
      <c r="H46" s="262">
        <f>(L34+B38+P21+P22+P20+L36)-SUM(D42:D45)+(P18+P19)</f>
        <v>-9.9999999999454303E-2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500.82853726436622</v>
      </c>
      <c r="C47" s="216"/>
      <c r="D47" s="217">
        <f>SUM(D42:D46)</f>
        <v>6304.25</v>
      </c>
      <c r="E47" s="217">
        <v>6304.25</v>
      </c>
      <c r="F47" s="186"/>
      <c r="G47" s="183"/>
      <c r="H47" s="263">
        <f>(C36+L35+L37)-D46</f>
        <v>-5.999999999994543E-2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45718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61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+'01-03-2025'!K7</f>
        <v>2757.6900256550894</v>
      </c>
      <c r="C7" s="22">
        <f>L26+L27</f>
        <v>0</v>
      </c>
      <c r="D7" s="23"/>
      <c r="E7" s="23"/>
      <c r="F7" s="24">
        <f t="shared" ref="F7:F10" si="0">+B7+C7+D7+E7</f>
        <v>2757.6900256550894</v>
      </c>
      <c r="G7" s="25">
        <f>B46-H7</f>
        <v>260.13084112149534</v>
      </c>
      <c r="H7" s="22"/>
      <c r="I7" s="26"/>
      <c r="J7" s="21">
        <f t="shared" ref="J7:J10" si="1">+G7+H7+I7</f>
        <v>260.13084112149534</v>
      </c>
      <c r="K7" s="21">
        <f t="shared" ref="K7:K10" si="2">+F7-J7</f>
        <v>2497.5591845335939</v>
      </c>
      <c r="L7" s="27">
        <f>+'01-03-2025'!M7</f>
        <v>2757.6900256550894</v>
      </c>
      <c r="M7" s="28">
        <v>2497.5591845335939</v>
      </c>
      <c r="N7" s="24">
        <f t="shared" ref="N7:N10" si="3">+G7</f>
        <v>260.13084112149534</v>
      </c>
      <c r="O7" s="24">
        <f>+C46</f>
        <v>7.49</v>
      </c>
      <c r="P7" s="29">
        <f t="shared" ref="P7:P10" si="4">+N7*O7</f>
        <v>1948.38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+'01-03-2025'!K8</f>
        <v>1381.2577384712572</v>
      </c>
      <c r="C8" s="22">
        <f>L28</f>
        <v>0</v>
      </c>
      <c r="D8" s="33"/>
      <c r="E8" s="23"/>
      <c r="F8" s="24">
        <f t="shared" si="0"/>
        <v>1381.2577384712572</v>
      </c>
      <c r="G8" s="25">
        <f>+B42-H8</f>
        <v>70.632975363234351</v>
      </c>
      <c r="H8" s="22"/>
      <c r="I8" s="26"/>
      <c r="J8" s="21">
        <f t="shared" si="1"/>
        <v>70.632975363234351</v>
      </c>
      <c r="K8" s="21">
        <f t="shared" si="2"/>
        <v>1310.6247631080228</v>
      </c>
      <c r="L8" s="27">
        <f>+'01-03-2025'!M8</f>
        <v>1380</v>
      </c>
      <c r="M8" s="28">
        <v>1310</v>
      </c>
      <c r="N8" s="24">
        <f t="shared" si="3"/>
        <v>70.632975363234351</v>
      </c>
      <c r="O8" s="24">
        <f>+C42</f>
        <v>15.83</v>
      </c>
      <c r="P8" s="29">
        <f t="shared" si="4"/>
        <v>1118.1199999999999</v>
      </c>
      <c r="Q8" s="30">
        <f t="shared" si="5"/>
        <v>-0.62476310802276203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+'01-03-2025'!K9</f>
        <v>808.1572580645161</v>
      </c>
      <c r="C9" s="22">
        <f>L29</f>
        <v>0</v>
      </c>
      <c r="D9" s="33"/>
      <c r="E9" s="23"/>
      <c r="F9" s="24">
        <f t="shared" si="0"/>
        <v>808.1572580645161</v>
      </c>
      <c r="G9" s="25">
        <f>+B43-H9</f>
        <v>121.97379032258064</v>
      </c>
      <c r="H9" s="22"/>
      <c r="I9" s="26"/>
      <c r="J9" s="21">
        <f t="shared" si="1"/>
        <v>121.97379032258064</v>
      </c>
      <c r="K9" s="21">
        <f t="shared" si="2"/>
        <v>686.18346774193549</v>
      </c>
      <c r="L9" s="27">
        <f>+'01-03-2025'!M9</f>
        <v>808</v>
      </c>
      <c r="M9" s="28">
        <v>685</v>
      </c>
      <c r="N9" s="24">
        <f t="shared" si="3"/>
        <v>121.97379032258064</v>
      </c>
      <c r="O9" s="24">
        <f>+C43</f>
        <v>14.88</v>
      </c>
      <c r="P9" s="29">
        <f t="shared" si="4"/>
        <v>1814.97</v>
      </c>
      <c r="Q9" s="30">
        <f t="shared" si="5"/>
        <v>-1.1834677419354875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+'01-03-2025'!K10</f>
        <v>1398.8157377049181</v>
      </c>
      <c r="C10" s="40">
        <f>L31</f>
        <v>0</v>
      </c>
      <c r="D10" s="41"/>
      <c r="E10" s="42"/>
      <c r="F10" s="24">
        <f t="shared" si="0"/>
        <v>1398.8157377049181</v>
      </c>
      <c r="G10" s="43">
        <f>+B45-H10</f>
        <v>41.180327868852459</v>
      </c>
      <c r="H10" s="40"/>
      <c r="I10" s="26"/>
      <c r="J10" s="44">
        <f t="shared" si="1"/>
        <v>41.180327868852459</v>
      </c>
      <c r="K10" s="44">
        <f t="shared" si="2"/>
        <v>1357.6354098360657</v>
      </c>
      <c r="L10" s="27">
        <f>+'01-03-2025'!M10</f>
        <v>1399</v>
      </c>
      <c r="M10" s="28">
        <v>1358</v>
      </c>
      <c r="N10" s="42">
        <f t="shared" si="3"/>
        <v>41.180327868852459</v>
      </c>
      <c r="O10" s="42">
        <f>+C45</f>
        <v>15.25</v>
      </c>
      <c r="P10" s="45">
        <f t="shared" si="4"/>
        <v>628</v>
      </c>
      <c r="Q10" s="30">
        <f t="shared" si="5"/>
        <v>0.36459016393428101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6345.920759895781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6345.920759895781</v>
      </c>
      <c r="G11" s="21">
        <f t="shared" si="6"/>
        <v>493.91793467616276</v>
      </c>
      <c r="H11" s="21">
        <f t="shared" si="6"/>
        <v>0</v>
      </c>
      <c r="I11" s="21">
        <f t="shared" si="6"/>
        <v>0</v>
      </c>
      <c r="J11" s="21">
        <f t="shared" si="6"/>
        <v>493.91793467616276</v>
      </c>
      <c r="K11" s="21">
        <f t="shared" si="6"/>
        <v>5852.0028252196171</v>
      </c>
      <c r="L11" s="27">
        <f t="shared" si="6"/>
        <v>6344.6900256550889</v>
      </c>
      <c r="M11" s="21">
        <f t="shared" si="6"/>
        <v>5850.5591845335939</v>
      </c>
      <c r="N11" s="21">
        <f t="shared" si="6"/>
        <v>493.91793467616276</v>
      </c>
      <c r="O11" s="21"/>
      <c r="P11" s="21">
        <f>SUM(P7:P10)</f>
        <v>5509.47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493.91793467616276</v>
      </c>
      <c r="P14" s="65">
        <f>+P11</f>
        <v>5509.47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1547.58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453.3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9.0000000000145519E-2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3508.5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0.62476310802276203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89</v>
      </c>
      <c r="P29" s="100">
        <f>6258.25/500</f>
        <v>12.516500000000001</v>
      </c>
      <c r="Q29" s="97">
        <f>+O9-P29</f>
        <v>2.3635000000000002</v>
      </c>
      <c r="S29" s="48">
        <f>+Q9*-1</f>
        <v>1.1834677419354875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v>-150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91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-0.36459016393428101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45718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-150</v>
      </c>
      <c r="K34" s="118" t="s">
        <v>56</v>
      </c>
      <c r="L34" s="125">
        <v>2013.5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1277.8699999999999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1495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269.70999999999998</v>
      </c>
      <c r="C36" s="136">
        <v>453.3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+'[1]25'!J41</f>
        <v>104.16</v>
      </c>
      <c r="K36" s="128" t="s">
        <v>111</v>
      </c>
      <c r="L36" s="139"/>
      <c r="M36" s="281" t="s">
        <v>112</v>
      </c>
      <c r="N36" s="281"/>
      <c r="O36" s="140">
        <f>+L33</f>
        <v>45718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2013.5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1547.58</v>
      </c>
      <c r="C38" s="153">
        <f>SUM(C35:C37)</f>
        <v>453.3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3508.5</v>
      </c>
      <c r="M38" s="161" t="s">
        <v>27</v>
      </c>
      <c r="N38" s="162" t="s">
        <v>116</v>
      </c>
      <c r="O38" s="163">
        <f>+L35</f>
        <v>1495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2000.8799999999999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104.16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3508.5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0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70.632975363234351</v>
      </c>
      <c r="C42" s="184">
        <v>15.83</v>
      </c>
      <c r="D42" s="185">
        <v>1118.1199999999999</v>
      </c>
      <c r="E42" s="186"/>
      <c r="F42" s="186"/>
      <c r="G42" s="186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121.97379032258064</v>
      </c>
      <c r="C43" s="184">
        <v>14.88</v>
      </c>
      <c r="D43" s="185">
        <v>1814.97</v>
      </c>
      <c r="E43" s="186"/>
      <c r="F43" s="186"/>
      <c r="G43" s="186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6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41.180327868852459</v>
      </c>
      <c r="C45" s="184">
        <v>15.25</v>
      </c>
      <c r="D45" s="185">
        <v>628</v>
      </c>
      <c r="E45" s="186"/>
      <c r="F45" s="186"/>
      <c r="G45" s="186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260.13084112149534</v>
      </c>
      <c r="C46" s="184">
        <v>7.49</v>
      </c>
      <c r="D46" s="185">
        <v>1948.38</v>
      </c>
      <c r="E46" s="186"/>
      <c r="F46" s="186"/>
      <c r="G46" s="212"/>
      <c r="H46" s="213">
        <f>(L34+B38+P21+P22+P20+L36)-SUM(D42:D45)+(P18+P19)</f>
        <v>-1.0000000000218279E-2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493.91793467616276</v>
      </c>
      <c r="C47" s="216"/>
      <c r="D47" s="217">
        <f>SUM(D42:D46)</f>
        <v>5509.47</v>
      </c>
      <c r="E47" s="217">
        <v>5509.47</v>
      </c>
      <c r="F47" s="186"/>
      <c r="G47" s="218"/>
      <c r="H47" s="219">
        <f>(C36+L35+L37)-D46</f>
        <v>-8.0000000000154614E-2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224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226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224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224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2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224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24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24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24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24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24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24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24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24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45736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79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+'19-03-2025'!K7</f>
        <v>1446.5132863283091</v>
      </c>
      <c r="C7" s="22">
        <f>L26+L27</f>
        <v>1436.7104285360417</v>
      </c>
      <c r="D7" s="23"/>
      <c r="E7" s="23"/>
      <c r="F7" s="24">
        <f t="shared" ref="F7:F10" si="0">+B7+C7+D7+E7</f>
        <v>2883.2237148643508</v>
      </c>
      <c r="G7" s="25">
        <f>B46-H7</f>
        <v>254.79839786381842</v>
      </c>
      <c r="H7" s="22"/>
      <c r="I7" s="26"/>
      <c r="J7" s="21">
        <f t="shared" ref="J7:J10" si="1">+G7+H7+I7</f>
        <v>254.79839786381842</v>
      </c>
      <c r="K7" s="21">
        <f t="shared" ref="K7:K10" si="2">+F7-J7</f>
        <v>2628.4253170005322</v>
      </c>
      <c r="L7" s="27">
        <f>+'19-03-2025'!M7</f>
        <v>1446.5132863283091</v>
      </c>
      <c r="M7" s="28">
        <v>2628.4253170005322</v>
      </c>
      <c r="N7" s="24">
        <f t="shared" ref="N7:N10" si="3">+G7</f>
        <v>254.79839786381842</v>
      </c>
      <c r="O7" s="24">
        <f>+C46</f>
        <v>7.49</v>
      </c>
      <c r="P7" s="29">
        <f t="shared" ref="P7:P10" si="4">+N7*O7</f>
        <v>1908.44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+'19-03-2025'!K8</f>
        <v>1212.4580144190759</v>
      </c>
      <c r="C8" s="22">
        <f>L28</f>
        <v>0</v>
      </c>
      <c r="D8" s="33"/>
      <c r="E8" s="23"/>
      <c r="F8" s="24">
        <f t="shared" si="0"/>
        <v>1212.4580144190759</v>
      </c>
      <c r="G8" s="25">
        <f>+B42-H8</f>
        <v>75.657777777777767</v>
      </c>
      <c r="H8" s="22"/>
      <c r="I8" s="26"/>
      <c r="J8" s="21">
        <f t="shared" si="1"/>
        <v>75.657777777777767</v>
      </c>
      <c r="K8" s="21">
        <f t="shared" si="2"/>
        <v>1136.8002366412982</v>
      </c>
      <c r="L8" s="27">
        <f>+'19-03-2025'!M8</f>
        <v>1205</v>
      </c>
      <c r="M8" s="28">
        <v>1130</v>
      </c>
      <c r="N8" s="24">
        <f t="shared" si="3"/>
        <v>75.657777777777767</v>
      </c>
      <c r="O8" s="24">
        <f>+C42</f>
        <v>15.75</v>
      </c>
      <c r="P8" s="29">
        <f t="shared" si="4"/>
        <v>1191.6099999999999</v>
      </c>
      <c r="Q8" s="30">
        <f t="shared" si="5"/>
        <v>-6.8002366412981701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+'19-03-2025'!K9</f>
        <v>1144.1691803353381</v>
      </c>
      <c r="C9" s="22">
        <f>L29</f>
        <v>0</v>
      </c>
      <c r="D9" s="33"/>
      <c r="E9" s="23"/>
      <c r="F9" s="24">
        <f t="shared" si="0"/>
        <v>1144.1691803353381</v>
      </c>
      <c r="G9" s="25">
        <f>+B43-H9</f>
        <v>154.26508474576269</v>
      </c>
      <c r="H9" s="22"/>
      <c r="I9" s="26"/>
      <c r="J9" s="21">
        <f t="shared" si="1"/>
        <v>154.26508474576269</v>
      </c>
      <c r="K9" s="21">
        <f t="shared" si="2"/>
        <v>989.90409558957538</v>
      </c>
      <c r="L9" s="27">
        <f>+'19-03-2025'!M9</f>
        <v>1135</v>
      </c>
      <c r="M9" s="28">
        <v>980</v>
      </c>
      <c r="N9" s="24">
        <f t="shared" si="3"/>
        <v>154.26508474576269</v>
      </c>
      <c r="O9" s="24">
        <f>+C43</f>
        <v>14.75</v>
      </c>
      <c r="P9" s="29">
        <f t="shared" si="4"/>
        <v>2275.41</v>
      </c>
      <c r="Q9" s="30">
        <f t="shared" si="5"/>
        <v>-9.9040955895753768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+'19-03-2025'!K10</f>
        <v>1440.7382215993655</v>
      </c>
      <c r="C10" s="40">
        <f>L31</f>
        <v>0</v>
      </c>
      <c r="D10" s="41"/>
      <c r="E10" s="42"/>
      <c r="F10" s="24">
        <f t="shared" si="0"/>
        <v>1440.7382215993655</v>
      </c>
      <c r="G10" s="43">
        <f>+B45-H10</f>
        <v>46.952948972829688</v>
      </c>
      <c r="H10" s="40"/>
      <c r="I10" s="26"/>
      <c r="J10" s="44">
        <f t="shared" si="1"/>
        <v>46.952948972829688</v>
      </c>
      <c r="K10" s="44">
        <f t="shared" si="2"/>
        <v>1393.7852726265357</v>
      </c>
      <c r="L10" s="27">
        <f>+'19-03-2025'!M10</f>
        <v>1442</v>
      </c>
      <c r="M10" s="28">
        <v>1395</v>
      </c>
      <c r="N10" s="42">
        <f t="shared" si="3"/>
        <v>46.952948972829688</v>
      </c>
      <c r="O10" s="42">
        <f>+C45</f>
        <v>15.09</v>
      </c>
      <c r="P10" s="45">
        <f t="shared" si="4"/>
        <v>708.52</v>
      </c>
      <c r="Q10" s="30">
        <f t="shared" si="5"/>
        <v>1.2147273734642567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5243.8787026820883</v>
      </c>
      <c r="C11" s="21">
        <f t="shared" si="6"/>
        <v>1436.7104285360417</v>
      </c>
      <c r="D11" s="21">
        <f t="shared" si="6"/>
        <v>0</v>
      </c>
      <c r="E11" s="21">
        <f t="shared" si="6"/>
        <v>0</v>
      </c>
      <c r="F11" s="21">
        <f t="shared" si="6"/>
        <v>6680.5891312181302</v>
      </c>
      <c r="G11" s="21">
        <f t="shared" si="6"/>
        <v>531.67420936018857</v>
      </c>
      <c r="H11" s="21">
        <f t="shared" si="6"/>
        <v>0</v>
      </c>
      <c r="I11" s="21">
        <f t="shared" si="6"/>
        <v>0</v>
      </c>
      <c r="J11" s="21">
        <f t="shared" si="6"/>
        <v>531.67420936018857</v>
      </c>
      <c r="K11" s="21">
        <f t="shared" si="6"/>
        <v>6148.9149218579414</v>
      </c>
      <c r="L11" s="27">
        <f t="shared" si="6"/>
        <v>5228.5132863283088</v>
      </c>
      <c r="M11" s="21">
        <f t="shared" si="6"/>
        <v>6133.4253170005322</v>
      </c>
      <c r="N11" s="21">
        <f t="shared" si="6"/>
        <v>531.67420936018857</v>
      </c>
      <c r="O11" s="21"/>
      <c r="P11" s="21">
        <f>SUM(P7:P10)</f>
        <v>6083.98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531.67420936018857</v>
      </c>
      <c r="P14" s="65">
        <f>+P11</f>
        <v>6083.98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180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1398.06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587.29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0.32999999999947249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4094.3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1436.7104285360417</v>
      </c>
      <c r="M26" s="94" t="s">
        <v>182</v>
      </c>
      <c r="N26" s="94" t="s">
        <v>156</v>
      </c>
      <c r="O26" s="95" t="s">
        <v>144</v>
      </c>
      <c r="P26" s="96" t="str">
        <f>+I42&amp;"   "&amp;"kg"</f>
        <v>2900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89</v>
      </c>
      <c r="P28" s="100">
        <f>6555.25/500</f>
        <v>13.1105</v>
      </c>
      <c r="Q28" s="97">
        <f>+O8-P28</f>
        <v>2.6395</v>
      </c>
      <c r="S28" s="48">
        <f>+Q8*-1</f>
        <v>6.8002366412981701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89</v>
      </c>
      <c r="P29" s="100">
        <f>6006.08/500</f>
        <v>12.01216</v>
      </c>
      <c r="Q29" s="97">
        <f>+O9-P29</f>
        <v>2.7378400000000003</v>
      </c>
      <c r="S29" s="48">
        <f>+Q9*-1</f>
        <v>9.9040955895753768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+'17-03-2025'!J34</f>
        <v>-15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-1.2147273734642567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45736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-15</v>
      </c>
      <c r="K34" s="118" t="s">
        <v>56</v>
      </c>
      <c r="L34" s="125">
        <v>2773.3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788.51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1321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609.54999999999995</v>
      </c>
      <c r="C36" s="136">
        <v>587.29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45736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2773.3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1398.06</v>
      </c>
      <c r="C38" s="153">
        <f>SUM(C35:C37)</f>
        <v>587.29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4094.3</v>
      </c>
      <c r="M38" s="161" t="s">
        <v>27</v>
      </c>
      <c r="N38" s="162" t="s">
        <v>116</v>
      </c>
      <c r="O38" s="163">
        <f>+L35</f>
        <v>1321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1985.35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4094.3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75.657777777777767</v>
      </c>
      <c r="C42" s="184">
        <v>15.75</v>
      </c>
      <c r="D42" s="185">
        <v>1191.6099999999999</v>
      </c>
      <c r="E42" s="186"/>
      <c r="F42" s="186"/>
      <c r="G42" s="183"/>
      <c r="H42" s="187" t="s">
        <v>124</v>
      </c>
      <c r="I42" s="188" t="s">
        <v>181</v>
      </c>
      <c r="J42" s="189">
        <v>2.0185</v>
      </c>
      <c r="K42" s="190">
        <f>+I42/J42</f>
        <v>1436.7104285360417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154.26508474576269</v>
      </c>
      <c r="C43" s="184">
        <v>14.75</v>
      </c>
      <c r="D43" s="185">
        <v>2275.41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46.952948972829688</v>
      </c>
      <c r="C45" s="184">
        <v>15.09</v>
      </c>
      <c r="D45" s="185">
        <v>708.52</v>
      </c>
      <c r="E45" s="186"/>
      <c r="F45" s="186"/>
      <c r="G45" s="183"/>
      <c r="H45" s="206" t="s">
        <v>130</v>
      </c>
      <c r="I45" s="207">
        <f>+K45/J45</f>
        <v>2.2773523683553694</v>
      </c>
      <c r="J45" s="208">
        <f>+J43</f>
        <v>3.7854000000000001</v>
      </c>
      <c r="K45" s="209">
        <f>+L45/I42</f>
        <v>8.6206896551724146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254.79839786381842</v>
      </c>
      <c r="C46" s="184">
        <v>7.49</v>
      </c>
      <c r="D46" s="185">
        <v>1908.44</v>
      </c>
      <c r="E46" s="186"/>
      <c r="F46" s="186"/>
      <c r="G46" s="183"/>
      <c r="H46" s="262">
        <f>(L34+B38+P21+P22+P20+L36)-SUM(D42:D45)+(P18+P19)</f>
        <v>-0.17999999999847205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531.67420936018857</v>
      </c>
      <c r="C47" s="216"/>
      <c r="D47" s="217">
        <f>SUM(D42:D46)</f>
        <v>6083.98</v>
      </c>
      <c r="E47" s="217">
        <v>6083.98</v>
      </c>
      <c r="F47" s="186"/>
      <c r="G47" s="183"/>
      <c r="H47" s="263">
        <f>(C36+L35+L37)-D46</f>
        <v>-0.15000000000009095</v>
      </c>
      <c r="I47" s="220" t="s">
        <v>88</v>
      </c>
      <c r="J47" s="221" t="s">
        <v>135</v>
      </c>
      <c r="K47" s="222">
        <v>2.0185</v>
      </c>
      <c r="L47" s="223">
        <f>+K45-K43</f>
        <v>1.1306896551724144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45737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80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+'20-03-2025'!K7</f>
        <v>2628.4253170005322</v>
      </c>
      <c r="C7" s="22">
        <f>L26+L27</f>
        <v>0</v>
      </c>
      <c r="D7" s="23"/>
      <c r="E7" s="23"/>
      <c r="F7" s="24">
        <f t="shared" ref="F7:F10" si="0">+B7+C7+D7+E7</f>
        <v>2628.4253170005322</v>
      </c>
      <c r="G7" s="25">
        <f>B46-H7</f>
        <v>147.99065420560748</v>
      </c>
      <c r="H7" s="22"/>
      <c r="I7" s="26"/>
      <c r="J7" s="21">
        <f t="shared" ref="J7:J10" si="1">+G7+H7+I7</f>
        <v>147.99065420560748</v>
      </c>
      <c r="K7" s="21">
        <f t="shared" ref="K7:K10" si="2">+F7-J7</f>
        <v>2480.4346627949249</v>
      </c>
      <c r="L7" s="27">
        <f>+'20-03-2025'!M7</f>
        <v>2628.4253170005322</v>
      </c>
      <c r="M7" s="28">
        <v>2480.4346627949249</v>
      </c>
      <c r="N7" s="24">
        <f t="shared" ref="N7:N10" si="3">+G7</f>
        <v>147.99065420560748</v>
      </c>
      <c r="O7" s="24">
        <f>+C46</f>
        <v>7.49</v>
      </c>
      <c r="P7" s="29">
        <f t="shared" ref="P7:P10" si="4">+N7*O7</f>
        <v>1108.45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+'20-03-2025'!K8</f>
        <v>1136.8002366412982</v>
      </c>
      <c r="C8" s="22">
        <f>L28</f>
        <v>0</v>
      </c>
      <c r="D8" s="33"/>
      <c r="E8" s="23"/>
      <c r="F8" s="24">
        <f t="shared" si="0"/>
        <v>1136.8002366412982</v>
      </c>
      <c r="G8" s="25">
        <f>+B42-H8</f>
        <v>86.916190476190479</v>
      </c>
      <c r="H8" s="22"/>
      <c r="I8" s="26"/>
      <c r="J8" s="21">
        <f t="shared" si="1"/>
        <v>86.916190476190479</v>
      </c>
      <c r="K8" s="21">
        <f t="shared" si="2"/>
        <v>1049.8840461651077</v>
      </c>
      <c r="L8" s="27">
        <f>+'20-03-2025'!M8</f>
        <v>1130</v>
      </c>
      <c r="M8" s="28">
        <v>1040</v>
      </c>
      <c r="N8" s="24">
        <f t="shared" si="3"/>
        <v>86.916190476190479</v>
      </c>
      <c r="O8" s="24">
        <f>+C42</f>
        <v>15.75</v>
      </c>
      <c r="P8" s="29">
        <f t="shared" si="4"/>
        <v>1368.93</v>
      </c>
      <c r="Q8" s="30">
        <f t="shared" si="5"/>
        <v>-9.8840461651077476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+'20-03-2025'!K9</f>
        <v>989.90409558957538</v>
      </c>
      <c r="C9" s="22">
        <f>L29</f>
        <v>0</v>
      </c>
      <c r="D9" s="33"/>
      <c r="E9" s="23"/>
      <c r="F9" s="24">
        <f t="shared" si="0"/>
        <v>989.90409558957538</v>
      </c>
      <c r="G9" s="25">
        <f>+B43-H9</f>
        <v>134.27457627118645</v>
      </c>
      <c r="H9" s="22"/>
      <c r="I9" s="26"/>
      <c r="J9" s="21">
        <f t="shared" si="1"/>
        <v>134.27457627118645</v>
      </c>
      <c r="K9" s="21">
        <f t="shared" si="2"/>
        <v>855.62951931838893</v>
      </c>
      <c r="L9" s="27">
        <f>+'20-03-2025'!M9</f>
        <v>980</v>
      </c>
      <c r="M9" s="28">
        <v>850</v>
      </c>
      <c r="N9" s="24">
        <f t="shared" si="3"/>
        <v>134.27457627118645</v>
      </c>
      <c r="O9" s="24">
        <f>+C43</f>
        <v>14.75</v>
      </c>
      <c r="P9" s="29">
        <f t="shared" si="4"/>
        <v>1980.5500000000002</v>
      </c>
      <c r="Q9" s="30">
        <f t="shared" si="5"/>
        <v>-5.6295193183889296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+'20-03-2025'!K10</f>
        <v>1393.7852726265357</v>
      </c>
      <c r="C10" s="40">
        <f>L31</f>
        <v>0</v>
      </c>
      <c r="D10" s="41"/>
      <c r="E10" s="42"/>
      <c r="F10" s="24">
        <f t="shared" si="0"/>
        <v>1393.7852726265357</v>
      </c>
      <c r="G10" s="43">
        <f>+B45-H10</f>
        <v>161.75878064943672</v>
      </c>
      <c r="H10" s="40"/>
      <c r="I10" s="26"/>
      <c r="J10" s="44">
        <f t="shared" si="1"/>
        <v>161.75878064943672</v>
      </c>
      <c r="K10" s="44">
        <f t="shared" si="2"/>
        <v>1232.0264919770991</v>
      </c>
      <c r="L10" s="27">
        <f>+'20-03-2025'!M10</f>
        <v>1395</v>
      </c>
      <c r="M10" s="28">
        <v>1235</v>
      </c>
      <c r="N10" s="42">
        <f t="shared" si="3"/>
        <v>161.75878064943672</v>
      </c>
      <c r="O10" s="42">
        <f>+C45</f>
        <v>15.09</v>
      </c>
      <c r="P10" s="45">
        <f t="shared" si="4"/>
        <v>2440.94</v>
      </c>
      <c r="Q10" s="30">
        <f t="shared" si="5"/>
        <v>2.9735080229008872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6148.9149218579414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6148.9149218579414</v>
      </c>
      <c r="G11" s="21">
        <f t="shared" si="6"/>
        <v>530.9402016024211</v>
      </c>
      <c r="H11" s="21">
        <f t="shared" si="6"/>
        <v>0</v>
      </c>
      <c r="I11" s="21">
        <f t="shared" si="6"/>
        <v>0</v>
      </c>
      <c r="J11" s="21">
        <f t="shared" si="6"/>
        <v>530.9402016024211</v>
      </c>
      <c r="K11" s="21">
        <f t="shared" si="6"/>
        <v>5617.97472025552</v>
      </c>
      <c r="L11" s="27">
        <f t="shared" si="6"/>
        <v>6133.4253170005322</v>
      </c>
      <c r="M11" s="21">
        <f t="shared" si="6"/>
        <v>5605.4346627949253</v>
      </c>
      <c r="N11" s="21">
        <f t="shared" si="6"/>
        <v>530.9402016024211</v>
      </c>
      <c r="O11" s="21"/>
      <c r="P11" s="21">
        <f>SUM(P7:P10)</f>
        <v>6898.8700000000008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530.9402016024211</v>
      </c>
      <c r="P14" s="65">
        <f>+P11</f>
        <v>6898.8700000000008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1461.1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262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0.11303000000043539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1435.5569699999999</v>
      </c>
      <c r="M20" s="288" t="s">
        <v>68</v>
      </c>
      <c r="N20" s="289"/>
      <c r="O20" s="290"/>
      <c r="P20" s="77">
        <f>+L20</f>
        <v>1435.5569699999999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>
        <v>1435.56</v>
      </c>
      <c r="M22" s="288" t="s">
        <v>74</v>
      </c>
      <c r="N22" s="289"/>
      <c r="O22" s="290"/>
      <c r="P22" s="77">
        <f>+J37+J20+J26+J31+J32</f>
        <v>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3.0300000000806904E-3</v>
      </c>
      <c r="M23" s="294" t="s">
        <v>77</v>
      </c>
      <c r="N23" s="295"/>
      <c r="O23" s="83"/>
      <c r="P23" s="84">
        <f>P14-SUM(P15:P22)</f>
        <v>3740.1000000000004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>
        <v>95.132999999999996</v>
      </c>
      <c r="F24" s="60">
        <v>0</v>
      </c>
      <c r="G24" s="61">
        <f t="shared" si="7"/>
        <v>0</v>
      </c>
      <c r="H24" s="71" t="s">
        <v>183</v>
      </c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89</v>
      </c>
      <c r="P28" s="100">
        <f>6555.25/500</f>
        <v>13.1105</v>
      </c>
      <c r="Q28" s="97">
        <f>+O8-P28</f>
        <v>2.6395</v>
      </c>
      <c r="S28" s="48">
        <f>+Q8*-1</f>
        <v>9.8840461651077476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89</v>
      </c>
      <c r="P29" s="100">
        <f>6006.08/500</f>
        <v>12.01216</v>
      </c>
      <c r="Q29" s="97">
        <f>+O9-P29</f>
        <v>2.7378400000000003</v>
      </c>
      <c r="S29" s="48">
        <f>+Q9*-1</f>
        <v>5.6295193183889296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+'17-03-2025'!J34</f>
        <v>-15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-2.9735080229008872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45737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-15</v>
      </c>
      <c r="K34" s="118" t="s">
        <v>56</v>
      </c>
      <c r="L34" s="125">
        <v>2893.7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1144.5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846.4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316.60000000000002</v>
      </c>
      <c r="C36" s="136">
        <v>262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45737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2893.7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1461.1</v>
      </c>
      <c r="C38" s="153">
        <f>SUM(C35:C37)</f>
        <v>262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3740.1</v>
      </c>
      <c r="M38" s="161" t="s">
        <v>27</v>
      </c>
      <c r="N38" s="162" t="s">
        <v>116</v>
      </c>
      <c r="O38" s="163">
        <f>+L35</f>
        <v>846.4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1723.1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3740.1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86.916190476190479</v>
      </c>
      <c r="C42" s="184">
        <v>15.75</v>
      </c>
      <c r="D42" s="185">
        <v>1368.93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134.27457627118645</v>
      </c>
      <c r="C43" s="184">
        <v>14.75</v>
      </c>
      <c r="D43" s="185">
        <v>1980.55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161.75878064943672</v>
      </c>
      <c r="C45" s="184">
        <v>15.09</v>
      </c>
      <c r="D45" s="185">
        <v>2440.94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147.99065420560748</v>
      </c>
      <c r="C46" s="184">
        <v>7.49</v>
      </c>
      <c r="D46" s="185">
        <v>1108.45</v>
      </c>
      <c r="E46" s="186"/>
      <c r="F46" s="186"/>
      <c r="G46" s="183"/>
      <c r="H46" s="262">
        <f>(L34+B38+P21+P22+P20+L36)-SUM(D42:D45)+(P18+P19)</f>
        <v>-6.3030000001162989E-2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530.9402016024211</v>
      </c>
      <c r="C47" s="216"/>
      <c r="D47" s="217">
        <f>SUM(D42:D46)</f>
        <v>6898.87</v>
      </c>
      <c r="E47" s="217">
        <v>6898.87</v>
      </c>
      <c r="F47" s="186"/>
      <c r="G47" s="183"/>
      <c r="H47" s="263">
        <f>(C36+L35+L37)-D46</f>
        <v>-4.9999999999954525E-2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45738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81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+'21-03-2025'!K7</f>
        <v>2480.4346627949249</v>
      </c>
      <c r="C7" s="22">
        <f>L26+L27</f>
        <v>0</v>
      </c>
      <c r="D7" s="23"/>
      <c r="E7" s="23"/>
      <c r="F7" s="24">
        <f t="shared" ref="F7:F10" si="0">+B7+C7+D7+E7</f>
        <v>2480.4346627949249</v>
      </c>
      <c r="G7" s="25">
        <f>B46-H7</f>
        <v>286.27102803738319</v>
      </c>
      <c r="H7" s="22"/>
      <c r="I7" s="26"/>
      <c r="J7" s="21">
        <f t="shared" ref="J7:J10" si="1">+G7+H7+I7</f>
        <v>286.27102803738319</v>
      </c>
      <c r="K7" s="21">
        <f t="shared" ref="K7:K10" si="2">+F7-J7</f>
        <v>2194.1636347575418</v>
      </c>
      <c r="L7" s="27">
        <f>+'21-03-2025'!M7</f>
        <v>2480.4346627949249</v>
      </c>
      <c r="M7" s="28">
        <v>2194.1636347575418</v>
      </c>
      <c r="N7" s="24">
        <f t="shared" ref="N7:N10" si="3">+G7</f>
        <v>286.27102803738319</v>
      </c>
      <c r="O7" s="24">
        <f>+C46</f>
        <v>7.49</v>
      </c>
      <c r="P7" s="29">
        <f t="shared" ref="P7:P10" si="4">+N7*O7</f>
        <v>2144.17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+'21-03-2025'!K8</f>
        <v>1049.8840461651077</v>
      </c>
      <c r="C8" s="22">
        <f>L28</f>
        <v>0</v>
      </c>
      <c r="D8" s="33"/>
      <c r="E8" s="23"/>
      <c r="F8" s="24">
        <f t="shared" si="0"/>
        <v>1049.8840461651077</v>
      </c>
      <c r="G8" s="25">
        <f>+B42-H8</f>
        <v>89.77968253968254</v>
      </c>
      <c r="H8" s="22"/>
      <c r="I8" s="26"/>
      <c r="J8" s="21">
        <f t="shared" si="1"/>
        <v>89.77968253968254</v>
      </c>
      <c r="K8" s="21">
        <f t="shared" si="2"/>
        <v>960.10436362542521</v>
      </c>
      <c r="L8" s="27">
        <f>+'21-03-2025'!M8</f>
        <v>1040</v>
      </c>
      <c r="M8" s="28">
        <v>955</v>
      </c>
      <c r="N8" s="24">
        <f t="shared" si="3"/>
        <v>89.77968253968254</v>
      </c>
      <c r="O8" s="24">
        <f>+C42</f>
        <v>15.75</v>
      </c>
      <c r="P8" s="29">
        <f t="shared" si="4"/>
        <v>1414.03</v>
      </c>
      <c r="Q8" s="30">
        <f t="shared" si="5"/>
        <v>-5.1043636254252078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+'21-03-2025'!K9</f>
        <v>855.62951931838893</v>
      </c>
      <c r="C9" s="22">
        <f>L29</f>
        <v>0</v>
      </c>
      <c r="D9" s="33"/>
      <c r="E9" s="23"/>
      <c r="F9" s="24">
        <f t="shared" si="0"/>
        <v>855.62951931838893</v>
      </c>
      <c r="G9" s="25">
        <f>+B43-H9</f>
        <v>123.02847457627119</v>
      </c>
      <c r="H9" s="22"/>
      <c r="I9" s="26"/>
      <c r="J9" s="21">
        <f t="shared" si="1"/>
        <v>123.02847457627119</v>
      </c>
      <c r="K9" s="21">
        <f t="shared" si="2"/>
        <v>732.60104474211778</v>
      </c>
      <c r="L9" s="27">
        <f>+'21-03-2025'!M9</f>
        <v>850</v>
      </c>
      <c r="M9" s="28">
        <v>720</v>
      </c>
      <c r="N9" s="24">
        <f t="shared" si="3"/>
        <v>123.02847457627119</v>
      </c>
      <c r="O9" s="24">
        <f>+C43</f>
        <v>14.75</v>
      </c>
      <c r="P9" s="29">
        <f t="shared" si="4"/>
        <v>1814.67</v>
      </c>
      <c r="Q9" s="30">
        <f t="shared" si="5"/>
        <v>-12.601044742117779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+'21-03-2025'!K10</f>
        <v>1232.0264919770991</v>
      </c>
      <c r="C10" s="40">
        <f>L31</f>
        <v>0</v>
      </c>
      <c r="D10" s="41"/>
      <c r="E10" s="42"/>
      <c r="F10" s="24">
        <f t="shared" si="0"/>
        <v>1232.0264919770991</v>
      </c>
      <c r="G10" s="43">
        <f>+B45-H10</f>
        <v>43.656063618290254</v>
      </c>
      <c r="H10" s="40"/>
      <c r="I10" s="26"/>
      <c r="J10" s="44">
        <f t="shared" si="1"/>
        <v>43.656063618290254</v>
      </c>
      <c r="K10" s="44">
        <f t="shared" si="2"/>
        <v>1188.3704283588088</v>
      </c>
      <c r="L10" s="27">
        <f>+'21-03-2025'!M10</f>
        <v>1235</v>
      </c>
      <c r="M10" s="28">
        <v>1190</v>
      </c>
      <c r="N10" s="42">
        <f t="shared" si="3"/>
        <v>43.656063618290254</v>
      </c>
      <c r="O10" s="42">
        <f>+C45</f>
        <v>15.09</v>
      </c>
      <c r="P10" s="45">
        <f t="shared" si="4"/>
        <v>658.77</v>
      </c>
      <c r="Q10" s="30">
        <f t="shared" si="5"/>
        <v>1.6295716411912053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5617.97472025552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5617.97472025552</v>
      </c>
      <c r="G11" s="21">
        <f t="shared" si="6"/>
        <v>542.7352487716272</v>
      </c>
      <c r="H11" s="21">
        <f t="shared" si="6"/>
        <v>0</v>
      </c>
      <c r="I11" s="21">
        <f t="shared" si="6"/>
        <v>0</v>
      </c>
      <c r="J11" s="21">
        <f t="shared" si="6"/>
        <v>542.7352487716272</v>
      </c>
      <c r="K11" s="21">
        <f t="shared" si="6"/>
        <v>5075.2394714838938</v>
      </c>
      <c r="L11" s="27">
        <f t="shared" si="6"/>
        <v>5605.4346627949253</v>
      </c>
      <c r="M11" s="21">
        <f t="shared" si="6"/>
        <v>5059.1636347575422</v>
      </c>
      <c r="N11" s="21">
        <f t="shared" si="6"/>
        <v>542.7352487716272</v>
      </c>
      <c r="O11" s="21"/>
      <c r="P11" s="21">
        <f>SUM(P7:P10)</f>
        <v>6031.6399999999994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542.7352487716272</v>
      </c>
      <c r="P14" s="65">
        <f>+P11</f>
        <v>6031.6399999999994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1392.97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444.24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0.19999999999936335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298.93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348.93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4400.4304099999999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3845.3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89</v>
      </c>
      <c r="P28" s="100">
        <f>6555.25/500</f>
        <v>13.1105</v>
      </c>
      <c r="Q28" s="97">
        <f>+O8-P28</f>
        <v>2.6395</v>
      </c>
      <c r="S28" s="48">
        <f>+Q8*-1</f>
        <v>5.1043636254252078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89</v>
      </c>
      <c r="P29" s="100">
        <f>6006.08/500</f>
        <v>12.01216</v>
      </c>
      <c r="Q29" s="97">
        <f>+O9-P29</f>
        <v>2.7378400000000003</v>
      </c>
      <c r="S29" s="48">
        <f>+Q9*-1</f>
        <v>12.601044742117779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+'21-03-2025'!J34</f>
        <v>-15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>
        <v>50</v>
      </c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-1.6295716411912053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45738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-65</v>
      </c>
      <c r="K34" s="118" t="s">
        <v>56</v>
      </c>
      <c r="L34" s="125">
        <v>2145.4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941.42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1699.9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451.55</v>
      </c>
      <c r="C36" s="136">
        <v>444.24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45738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2145.4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1392.97</v>
      </c>
      <c r="C38" s="153">
        <f>SUM(C35:C37)</f>
        <v>444.24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3845.3</v>
      </c>
      <c r="M38" s="161" t="s">
        <v>27</v>
      </c>
      <c r="N38" s="162" t="s">
        <v>116</v>
      </c>
      <c r="O38" s="163">
        <f>+L35</f>
        <v>1699.9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1837.21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3845.3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89.77968253968254</v>
      </c>
      <c r="C42" s="184">
        <v>15.75</v>
      </c>
      <c r="D42" s="185">
        <v>1414.03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123.02847457627119</v>
      </c>
      <c r="C43" s="184">
        <v>14.75</v>
      </c>
      <c r="D43" s="185">
        <v>1814.67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43.656063618290254</v>
      </c>
      <c r="C45" s="184">
        <v>15.09</v>
      </c>
      <c r="D45" s="185">
        <v>658.77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286.27102803738319</v>
      </c>
      <c r="C46" s="184">
        <v>7.49</v>
      </c>
      <c r="D46" s="185">
        <v>2144.17</v>
      </c>
      <c r="E46" s="186"/>
      <c r="F46" s="186"/>
      <c r="G46" s="183"/>
      <c r="H46" s="262">
        <f>(L34+B38+P21+P22+P20+L36)-SUM(D42:D45)+(P18+P19)</f>
        <v>-0.17000000000007276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542.7352487716272</v>
      </c>
      <c r="C47" s="216"/>
      <c r="D47" s="217">
        <f>SUM(D42:D46)</f>
        <v>6031.6399999999994</v>
      </c>
      <c r="E47" s="217">
        <v>6031.6399999999994</v>
      </c>
      <c r="F47" s="186"/>
      <c r="G47" s="183"/>
      <c r="H47" s="263">
        <f>(C36+L35+L37)-D46</f>
        <v>-2.9999999999745341E-2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45739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82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+'22-03-2025'!K7</f>
        <v>2194.1636347575418</v>
      </c>
      <c r="C7" s="22">
        <f>L26+L27</f>
        <v>0</v>
      </c>
      <c r="D7" s="23"/>
      <c r="E7" s="23"/>
      <c r="F7" s="24">
        <f t="shared" ref="F7:F10" si="0">+B7+C7+D7+E7</f>
        <v>2194.1636347575418</v>
      </c>
      <c r="G7" s="25">
        <f>B46-H7</f>
        <v>229.62750333778371</v>
      </c>
      <c r="H7" s="22"/>
      <c r="I7" s="26"/>
      <c r="J7" s="21">
        <f t="shared" ref="J7:J10" si="1">+G7+H7+I7</f>
        <v>229.62750333778371</v>
      </c>
      <c r="K7" s="21">
        <f t="shared" ref="K7:K10" si="2">+F7-J7</f>
        <v>1964.536131419758</v>
      </c>
      <c r="L7" s="27">
        <f>+'22-03-2025'!M7</f>
        <v>2194.1636347575418</v>
      </c>
      <c r="M7" s="28">
        <v>1964.536131419758</v>
      </c>
      <c r="N7" s="24">
        <f t="shared" ref="N7:N10" si="3">+G7</f>
        <v>229.62750333778371</v>
      </c>
      <c r="O7" s="24">
        <f>+C46</f>
        <v>7.49</v>
      </c>
      <c r="P7" s="29">
        <f t="shared" ref="P7:P10" si="4">+N7*O7</f>
        <v>1719.91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+'22-03-2025'!K8</f>
        <v>960.10436362542521</v>
      </c>
      <c r="C8" s="22">
        <f>L28</f>
        <v>0</v>
      </c>
      <c r="D8" s="33"/>
      <c r="E8" s="23"/>
      <c r="F8" s="24">
        <f t="shared" si="0"/>
        <v>960.10436362542521</v>
      </c>
      <c r="G8" s="25">
        <f>+B42-H8</f>
        <v>115.63428571428571</v>
      </c>
      <c r="H8" s="22"/>
      <c r="I8" s="26"/>
      <c r="J8" s="21">
        <f t="shared" si="1"/>
        <v>115.63428571428571</v>
      </c>
      <c r="K8" s="21">
        <f t="shared" si="2"/>
        <v>844.47007791113947</v>
      </c>
      <c r="L8" s="27">
        <f>+'22-03-2025'!M8</f>
        <v>955</v>
      </c>
      <c r="M8" s="28">
        <v>835</v>
      </c>
      <c r="N8" s="24">
        <f t="shared" si="3"/>
        <v>115.63428571428571</v>
      </c>
      <c r="O8" s="24">
        <f>+C42</f>
        <v>15.75</v>
      </c>
      <c r="P8" s="29">
        <f t="shared" si="4"/>
        <v>1821.24</v>
      </c>
      <c r="Q8" s="30">
        <f t="shared" si="5"/>
        <v>-9.4700779111394695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+'22-03-2025'!K9</f>
        <v>732.60104474211778</v>
      </c>
      <c r="C9" s="22">
        <f>L29</f>
        <v>0</v>
      </c>
      <c r="D9" s="33"/>
      <c r="E9" s="23"/>
      <c r="F9" s="24">
        <f t="shared" si="0"/>
        <v>732.60104474211778</v>
      </c>
      <c r="G9" s="25">
        <f>+B43-H9</f>
        <v>55.084745762711862</v>
      </c>
      <c r="H9" s="22"/>
      <c r="I9" s="26"/>
      <c r="J9" s="21">
        <f t="shared" si="1"/>
        <v>55.084745762711862</v>
      </c>
      <c r="K9" s="21">
        <f t="shared" si="2"/>
        <v>677.51629897940597</v>
      </c>
      <c r="L9" s="27">
        <f>+'22-03-2025'!M9</f>
        <v>720</v>
      </c>
      <c r="M9" s="28">
        <v>670</v>
      </c>
      <c r="N9" s="24">
        <f t="shared" si="3"/>
        <v>55.084745762711862</v>
      </c>
      <c r="O9" s="24">
        <f>+C43</f>
        <v>14.75</v>
      </c>
      <c r="P9" s="29">
        <f t="shared" si="4"/>
        <v>812.5</v>
      </c>
      <c r="Q9" s="30">
        <f t="shared" si="5"/>
        <v>-7.516298979405974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+'22-03-2025'!K10</f>
        <v>1188.3704283588088</v>
      </c>
      <c r="C10" s="40">
        <f>L31</f>
        <v>0</v>
      </c>
      <c r="D10" s="41"/>
      <c r="E10" s="42"/>
      <c r="F10" s="24">
        <f t="shared" si="0"/>
        <v>1188.3704283588088</v>
      </c>
      <c r="G10" s="43">
        <f>+B45-H10</f>
        <v>76.677269715043067</v>
      </c>
      <c r="H10" s="40"/>
      <c r="I10" s="26"/>
      <c r="J10" s="44">
        <f t="shared" si="1"/>
        <v>76.677269715043067</v>
      </c>
      <c r="K10" s="44">
        <f t="shared" si="2"/>
        <v>1111.6931586437656</v>
      </c>
      <c r="L10" s="27">
        <f>+'22-03-2025'!M10</f>
        <v>1190</v>
      </c>
      <c r="M10" s="28">
        <v>1115</v>
      </c>
      <c r="N10" s="42">
        <f t="shared" si="3"/>
        <v>76.677269715043067</v>
      </c>
      <c r="O10" s="42">
        <f>+C45</f>
        <v>15.09</v>
      </c>
      <c r="P10" s="45">
        <f t="shared" si="4"/>
        <v>1157.06</v>
      </c>
      <c r="Q10" s="30">
        <f t="shared" si="5"/>
        <v>3.3068413562343721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5075.2394714838938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5075.2394714838938</v>
      </c>
      <c r="G11" s="21">
        <f t="shared" si="6"/>
        <v>477.0238045298243</v>
      </c>
      <c r="H11" s="21">
        <f t="shared" si="6"/>
        <v>0</v>
      </c>
      <c r="I11" s="21">
        <f t="shared" si="6"/>
        <v>0</v>
      </c>
      <c r="J11" s="21">
        <f t="shared" si="6"/>
        <v>477.0238045298243</v>
      </c>
      <c r="K11" s="21">
        <f t="shared" si="6"/>
        <v>4598.2156669540691</v>
      </c>
      <c r="L11" s="27">
        <f t="shared" si="6"/>
        <v>5059.1636347575422</v>
      </c>
      <c r="M11" s="21">
        <f t="shared" si="6"/>
        <v>4584.536131419758</v>
      </c>
      <c r="N11" s="21">
        <f t="shared" si="6"/>
        <v>477.0238045298243</v>
      </c>
      <c r="O11" s="21"/>
      <c r="P11" s="21">
        <f>SUM(P7:P10)</f>
        <v>5510.7099999999991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477.0238045298243</v>
      </c>
      <c r="P14" s="65">
        <f>+P11</f>
        <v>5510.7099999999991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184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1955.08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457.64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3.8899999999989632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3090.1000000000004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89</v>
      </c>
      <c r="P28" s="100">
        <f>6555.25/500</f>
        <v>13.1105</v>
      </c>
      <c r="Q28" s="97">
        <f>+O8-P28</f>
        <v>2.6395</v>
      </c>
      <c r="S28" s="48">
        <f>+Q8*-1</f>
        <v>9.4700779111394695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89</v>
      </c>
      <c r="P29" s="100">
        <f>6006.08/500</f>
        <v>12.01216</v>
      </c>
      <c r="Q29" s="97">
        <f>+O9-P29</f>
        <v>2.7378400000000003</v>
      </c>
      <c r="S29" s="48">
        <f>+Q9*-1</f>
        <v>7.516298979405974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+'22-03-2025'!J34</f>
        <v>-65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-3.3068413562343721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45739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-65</v>
      </c>
      <c r="K34" s="118" t="s">
        <v>56</v>
      </c>
      <c r="L34" s="125">
        <v>1827.9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1483.08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1262.2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472</v>
      </c>
      <c r="C36" s="136">
        <v>457.64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45739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1827.9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1955.08</v>
      </c>
      <c r="C38" s="153">
        <f>SUM(C35:C37)</f>
        <v>457.64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3090.1000000000004</v>
      </c>
      <c r="M38" s="161" t="s">
        <v>27</v>
      </c>
      <c r="N38" s="162" t="s">
        <v>116</v>
      </c>
      <c r="O38" s="163">
        <f>+L35</f>
        <v>1262.2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2412.7199999999998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3090.1000000000004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115.63428571428571</v>
      </c>
      <c r="C42" s="184">
        <v>15.75</v>
      </c>
      <c r="D42" s="185">
        <v>1821.24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55.084745762711862</v>
      </c>
      <c r="C43" s="184">
        <v>14.75</v>
      </c>
      <c r="D43" s="185">
        <v>812.5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76.677269715043067</v>
      </c>
      <c r="C45" s="184">
        <v>15.09</v>
      </c>
      <c r="D45" s="185">
        <v>1157.06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229.62750333778371</v>
      </c>
      <c r="C46" s="184">
        <v>7.49</v>
      </c>
      <c r="D46" s="185">
        <v>1719.91</v>
      </c>
      <c r="E46" s="186"/>
      <c r="F46" s="186"/>
      <c r="G46" s="183"/>
      <c r="H46" s="262">
        <f>(L34+B38+P21+P22+P20+L36)-SUM(D42:D45)+(P18+P19)</f>
        <v>-3.819999999999709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477.02380452982436</v>
      </c>
      <c r="C47" s="216"/>
      <c r="D47" s="217">
        <f>SUM(D42:D46)</f>
        <v>5510.71</v>
      </c>
      <c r="E47" s="217">
        <v>5510.71</v>
      </c>
      <c r="F47" s="186"/>
      <c r="G47" s="183"/>
      <c r="H47" s="263">
        <f>(C36+L35+L37)-D46</f>
        <v>-6.9999999999936335E-2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45712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55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+'23-03-2025'!K7</f>
        <v>1964.536131419758</v>
      </c>
      <c r="C7" s="22">
        <f>L26+L27</f>
        <v>0</v>
      </c>
      <c r="D7" s="23"/>
      <c r="E7" s="23"/>
      <c r="F7" s="24">
        <f t="shared" ref="F7:F10" si="0">+B7+C7+D7+E7</f>
        <v>1964.536131419758</v>
      </c>
      <c r="G7" s="25">
        <f>B46-H7</f>
        <v>203.26034712950602</v>
      </c>
      <c r="H7" s="22"/>
      <c r="I7" s="26"/>
      <c r="J7" s="21">
        <f t="shared" ref="J7:J10" si="1">+G7+H7+I7</f>
        <v>203.26034712950602</v>
      </c>
      <c r="K7" s="21">
        <f t="shared" ref="K7:K10" si="2">+F7-J7</f>
        <v>1761.275784290252</v>
      </c>
      <c r="L7" s="27">
        <f>+'23-03-2025'!M7</f>
        <v>1964.536131419758</v>
      </c>
      <c r="M7" s="28">
        <v>1761.275784290252</v>
      </c>
      <c r="N7" s="24">
        <f t="shared" ref="N7:N10" si="3">+G7</f>
        <v>203.26034712950602</v>
      </c>
      <c r="O7" s="24">
        <f>+C46</f>
        <v>7.49</v>
      </c>
      <c r="P7" s="29">
        <f t="shared" ref="P7:P10" si="4">+N7*O7</f>
        <v>1522.42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+'23-03-2025'!K8</f>
        <v>844.47007791113947</v>
      </c>
      <c r="C8" s="22">
        <f>L28</f>
        <v>0</v>
      </c>
      <c r="D8" s="33"/>
      <c r="E8" s="23"/>
      <c r="F8" s="24">
        <f t="shared" si="0"/>
        <v>844.47007791113947</v>
      </c>
      <c r="G8" s="25">
        <f>+B42-H8</f>
        <v>80.006349206349199</v>
      </c>
      <c r="H8" s="22"/>
      <c r="I8" s="26"/>
      <c r="J8" s="21">
        <f t="shared" si="1"/>
        <v>80.006349206349199</v>
      </c>
      <c r="K8" s="21">
        <f t="shared" si="2"/>
        <v>764.46372870479024</v>
      </c>
      <c r="L8" s="27">
        <f>+'23-03-2025'!M8</f>
        <v>835</v>
      </c>
      <c r="M8" s="28">
        <v>760</v>
      </c>
      <c r="N8" s="24">
        <f t="shared" si="3"/>
        <v>80.006349206349199</v>
      </c>
      <c r="O8" s="24">
        <f>+C42</f>
        <v>15.75</v>
      </c>
      <c r="P8" s="29">
        <f t="shared" si="4"/>
        <v>1260.0999999999999</v>
      </c>
      <c r="Q8" s="30">
        <f t="shared" si="5"/>
        <v>-4.4637287047902419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+'23-03-2025'!K9</f>
        <v>677.51629897940597</v>
      </c>
      <c r="C9" s="22">
        <f>L29</f>
        <v>990</v>
      </c>
      <c r="D9" s="33"/>
      <c r="E9" s="23"/>
      <c r="F9" s="24">
        <f t="shared" si="0"/>
        <v>1667.516298979406</v>
      </c>
      <c r="G9" s="25">
        <f>+B43-H9</f>
        <v>133.40881355932203</v>
      </c>
      <c r="H9" s="22"/>
      <c r="I9" s="26"/>
      <c r="J9" s="21">
        <f t="shared" si="1"/>
        <v>133.40881355932203</v>
      </c>
      <c r="K9" s="21">
        <f t="shared" si="2"/>
        <v>1534.107485420084</v>
      </c>
      <c r="L9" s="27">
        <f>+'23-03-2025'!M9</f>
        <v>670</v>
      </c>
      <c r="M9" s="28">
        <v>1522</v>
      </c>
      <c r="N9" s="24">
        <f t="shared" si="3"/>
        <v>133.40881355932203</v>
      </c>
      <c r="O9" s="24">
        <f>+C43</f>
        <v>14.75</v>
      </c>
      <c r="P9" s="29">
        <f t="shared" si="4"/>
        <v>1967.78</v>
      </c>
      <c r="Q9" s="30">
        <f t="shared" si="5"/>
        <v>-12.107485420084004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+'23-03-2025'!K10</f>
        <v>1111.6931586437656</v>
      </c>
      <c r="C10" s="40">
        <f>L31</f>
        <v>0</v>
      </c>
      <c r="D10" s="41"/>
      <c r="E10" s="42"/>
      <c r="F10" s="24">
        <f t="shared" si="0"/>
        <v>1111.6931586437656</v>
      </c>
      <c r="G10" s="43">
        <f>+B45-H10</f>
        <v>31.931080185553345</v>
      </c>
      <c r="H10" s="40"/>
      <c r="I10" s="26"/>
      <c r="J10" s="44">
        <f t="shared" si="1"/>
        <v>31.931080185553345</v>
      </c>
      <c r="K10" s="44">
        <f t="shared" si="2"/>
        <v>1079.7620784582123</v>
      </c>
      <c r="L10" s="27">
        <f>+'23-03-2025'!M10</f>
        <v>1115</v>
      </c>
      <c r="M10" s="28">
        <v>1080</v>
      </c>
      <c r="N10" s="42">
        <f t="shared" si="3"/>
        <v>31.931080185553345</v>
      </c>
      <c r="O10" s="42">
        <f>+C45</f>
        <v>15.09</v>
      </c>
      <c r="P10" s="45">
        <f t="shared" si="4"/>
        <v>481.84</v>
      </c>
      <c r="Q10" s="30">
        <f t="shared" si="5"/>
        <v>0.23792154178772762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4598.2156669540691</v>
      </c>
      <c r="C11" s="21">
        <f t="shared" si="6"/>
        <v>990</v>
      </c>
      <c r="D11" s="21">
        <f t="shared" si="6"/>
        <v>0</v>
      </c>
      <c r="E11" s="21">
        <f t="shared" si="6"/>
        <v>0</v>
      </c>
      <c r="F11" s="21">
        <f t="shared" si="6"/>
        <v>5588.2156669540691</v>
      </c>
      <c r="G11" s="21">
        <f t="shared" si="6"/>
        <v>448.6065900807306</v>
      </c>
      <c r="H11" s="21">
        <f t="shared" si="6"/>
        <v>0</v>
      </c>
      <c r="I11" s="21">
        <f t="shared" si="6"/>
        <v>0</v>
      </c>
      <c r="J11" s="21">
        <f t="shared" si="6"/>
        <v>448.6065900807306</v>
      </c>
      <c r="K11" s="21">
        <f t="shared" si="6"/>
        <v>5139.6090768733384</v>
      </c>
      <c r="L11" s="27">
        <f t="shared" si="6"/>
        <v>4584.536131419758</v>
      </c>
      <c r="M11" s="21">
        <f t="shared" si="6"/>
        <v>5123.275784290252</v>
      </c>
      <c r="N11" s="21">
        <f t="shared" si="6"/>
        <v>448.6065900807306</v>
      </c>
      <c r="O11" s="21"/>
      <c r="P11" s="21">
        <f>SUM(P7:P10)</f>
        <v>5232.1400000000003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448.6065900807306</v>
      </c>
      <c r="P14" s="65">
        <f>+P11</f>
        <v>5232.1400000000003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751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323.76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2.0600000000004002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111.42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161.42000000000002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4212.9204099999997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3993.8999999999996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89</v>
      </c>
      <c r="P28" s="100">
        <f>6555.25/500</f>
        <v>13.1105</v>
      </c>
      <c r="Q28" s="97">
        <f>+O8-P28</f>
        <v>2.6395</v>
      </c>
      <c r="S28" s="48">
        <f>+Q8*-1</f>
        <v>4.4637287047902419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>
        <v>990</v>
      </c>
      <c r="M29" s="94" t="s">
        <v>185</v>
      </c>
      <c r="N29" s="94" t="s">
        <v>158</v>
      </c>
      <c r="O29" s="95" t="s">
        <v>91</v>
      </c>
      <c r="P29" s="100">
        <f>11892.04/990</f>
        <v>12.012161616161617</v>
      </c>
      <c r="Q29" s="97">
        <f>+O9-P29</f>
        <v>2.7378383838383833</v>
      </c>
      <c r="S29" s="48">
        <f>+Q9*-1</f>
        <v>12.107485420084004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+'22-03-2025'!J34</f>
        <v>-65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>
        <v>50</v>
      </c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-0.23792154178772762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45712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-115</v>
      </c>
      <c r="K34" s="118" t="s">
        <v>56</v>
      </c>
      <c r="L34" s="125">
        <v>2795.2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323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1198.7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428</v>
      </c>
      <c r="C36" s="136">
        <v>323.76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45712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2795.2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751</v>
      </c>
      <c r="C38" s="153">
        <f>SUM(C35:C37)</f>
        <v>323.76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3993.8999999999996</v>
      </c>
      <c r="M38" s="161" t="s">
        <v>27</v>
      </c>
      <c r="N38" s="162" t="s">
        <v>116</v>
      </c>
      <c r="O38" s="163">
        <f>+L35</f>
        <v>1198.7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1074.76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3993.8999999999996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80.006349206349199</v>
      </c>
      <c r="C42" s="184">
        <v>15.75</v>
      </c>
      <c r="D42" s="185">
        <v>1260.0999999999999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133.40881355932203</v>
      </c>
      <c r="C43" s="184">
        <v>14.75</v>
      </c>
      <c r="D43" s="185">
        <v>1967.78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31.931080185553345</v>
      </c>
      <c r="C45" s="184">
        <v>15.09</v>
      </c>
      <c r="D45" s="185">
        <v>481.84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203.26034712950602</v>
      </c>
      <c r="C46" s="184">
        <v>7.49</v>
      </c>
      <c r="D46" s="185">
        <v>1522.42</v>
      </c>
      <c r="E46" s="186"/>
      <c r="F46" s="186"/>
      <c r="G46" s="183"/>
      <c r="H46" s="262">
        <f>(L34+B38+P21+P22+P20+L36)-SUM(D42:D45)+(P18+P19)</f>
        <v>-2.1000000000003638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448.6065900807306</v>
      </c>
      <c r="C47" s="216"/>
      <c r="D47" s="217">
        <f>SUM(D42:D46)</f>
        <v>5232.1400000000003</v>
      </c>
      <c r="E47" s="217">
        <v>5232.1400000000003</v>
      </c>
      <c r="F47" s="186"/>
      <c r="G47" s="183"/>
      <c r="H47" s="263">
        <f>(C36+L35+L37)-D46</f>
        <v>3.999999999996362E-2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45713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56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+'24-03-2025'!K7</f>
        <v>1761.275784290252</v>
      </c>
      <c r="C7" s="22">
        <f>L26+L27</f>
        <v>0</v>
      </c>
      <c r="D7" s="23"/>
      <c r="E7" s="23"/>
      <c r="F7" s="24">
        <f t="shared" ref="F7:F10" si="0">+B7+C7+D7+E7</f>
        <v>1761.275784290252</v>
      </c>
      <c r="G7" s="25">
        <f>B46-H7</f>
        <v>168.36582109479303</v>
      </c>
      <c r="H7" s="22"/>
      <c r="I7" s="26"/>
      <c r="J7" s="21">
        <f t="shared" ref="J7:J10" si="1">+G7+H7+I7</f>
        <v>168.36582109479303</v>
      </c>
      <c r="K7" s="21">
        <f t="shared" ref="K7:K10" si="2">+F7-J7</f>
        <v>1592.9099631954589</v>
      </c>
      <c r="L7" s="27">
        <f>+'24-03-2025'!M7</f>
        <v>1761.275784290252</v>
      </c>
      <c r="M7" s="28">
        <v>1592.9099631954589</v>
      </c>
      <c r="N7" s="24">
        <f t="shared" ref="N7:N10" si="3">+G7</f>
        <v>168.36582109479303</v>
      </c>
      <c r="O7" s="24">
        <f>+C46</f>
        <v>7.49</v>
      </c>
      <c r="P7" s="29">
        <f t="shared" ref="P7:P10" si="4">+N7*O7</f>
        <v>1261.06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+'24-03-2025'!K8</f>
        <v>764.46372870479024</v>
      </c>
      <c r="C8" s="22">
        <f>L28</f>
        <v>0</v>
      </c>
      <c r="D8" s="33"/>
      <c r="E8" s="23">
        <f>20+20</f>
        <v>40</v>
      </c>
      <c r="F8" s="24">
        <f t="shared" si="0"/>
        <v>804.46372870479024</v>
      </c>
      <c r="G8" s="25">
        <f>+B42-H8</f>
        <v>58.78857142857143</v>
      </c>
      <c r="H8" s="22">
        <f>+E8</f>
        <v>40</v>
      </c>
      <c r="I8" s="26"/>
      <c r="J8" s="21">
        <f t="shared" si="1"/>
        <v>98.78857142857143</v>
      </c>
      <c r="K8" s="21">
        <f t="shared" si="2"/>
        <v>705.67515727621878</v>
      </c>
      <c r="L8" s="27">
        <f>+'24-03-2025'!M8</f>
        <v>760</v>
      </c>
      <c r="M8" s="28">
        <v>700</v>
      </c>
      <c r="N8" s="24">
        <f t="shared" si="3"/>
        <v>58.78857142857143</v>
      </c>
      <c r="O8" s="24">
        <f>+C42</f>
        <v>15.75</v>
      </c>
      <c r="P8" s="29">
        <f t="shared" si="4"/>
        <v>925.92000000000007</v>
      </c>
      <c r="Q8" s="30">
        <f t="shared" si="5"/>
        <v>-5.6751572762187834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+'24-03-2025'!K9</f>
        <v>1534.107485420084</v>
      </c>
      <c r="C9" s="22">
        <f>L29</f>
        <v>0</v>
      </c>
      <c r="D9" s="33"/>
      <c r="E9" s="23">
        <f>20+55</f>
        <v>75</v>
      </c>
      <c r="F9" s="24">
        <f t="shared" si="0"/>
        <v>1609.107485420084</v>
      </c>
      <c r="G9" s="25">
        <f>+B43-H9</f>
        <v>221.44338983050847</v>
      </c>
      <c r="H9" s="22">
        <f>+E9</f>
        <v>75</v>
      </c>
      <c r="I9" s="26"/>
      <c r="J9" s="21">
        <f t="shared" si="1"/>
        <v>296.44338983050847</v>
      </c>
      <c r="K9" s="21">
        <f t="shared" si="2"/>
        <v>1312.6640955895755</v>
      </c>
      <c r="L9" s="27">
        <f>+'24-03-2025'!M9</f>
        <v>1522</v>
      </c>
      <c r="M9" s="28">
        <v>1300</v>
      </c>
      <c r="N9" s="24">
        <f t="shared" si="3"/>
        <v>221.44338983050847</v>
      </c>
      <c r="O9" s="24">
        <f>+C43</f>
        <v>14.75</v>
      </c>
      <c r="P9" s="29">
        <f t="shared" si="4"/>
        <v>3266.29</v>
      </c>
      <c r="Q9" s="30">
        <f t="shared" si="5"/>
        <v>-12.664095589575481</v>
      </c>
      <c r="R9" s="34"/>
      <c r="S9" s="32"/>
      <c r="T9" s="38">
        <v>160</v>
      </c>
      <c r="U9" s="32"/>
    </row>
    <row r="10" spans="1:24" s="31" customFormat="1" ht="15.75" thickBot="1" x14ac:dyDescent="0.3">
      <c r="A10" s="39" t="s">
        <v>195</v>
      </c>
      <c r="B10" s="21">
        <f>+'24-03-2025'!K10</f>
        <v>1079.7620784582123</v>
      </c>
      <c r="C10" s="40">
        <f>L31</f>
        <v>0</v>
      </c>
      <c r="D10" s="41"/>
      <c r="E10" s="42">
        <f>25+30</f>
        <v>55</v>
      </c>
      <c r="F10" s="24">
        <f t="shared" si="0"/>
        <v>1134.7620784582123</v>
      </c>
      <c r="G10" s="43">
        <f>+B45-H10</f>
        <v>97.385023194168298</v>
      </c>
      <c r="H10" s="40">
        <f>+E10</f>
        <v>55</v>
      </c>
      <c r="I10" s="26"/>
      <c r="J10" s="44">
        <f t="shared" si="1"/>
        <v>152.3850231941683</v>
      </c>
      <c r="K10" s="44">
        <f t="shared" si="2"/>
        <v>982.37705526404397</v>
      </c>
      <c r="L10" s="27">
        <f>+'24-03-2025'!M10</f>
        <v>1080</v>
      </c>
      <c r="M10" s="28">
        <v>985</v>
      </c>
      <c r="N10" s="42">
        <f t="shared" si="3"/>
        <v>97.385023194168298</v>
      </c>
      <c r="O10" s="42">
        <f>+C45</f>
        <v>15.09</v>
      </c>
      <c r="P10" s="45">
        <f t="shared" si="4"/>
        <v>1469.5399999999995</v>
      </c>
      <c r="Q10" s="30">
        <f t="shared" si="5"/>
        <v>2.6229447359560254</v>
      </c>
      <c r="R10" s="34"/>
      <c r="S10" s="32"/>
      <c r="T10" s="38">
        <v>190</v>
      </c>
      <c r="U10" s="32"/>
    </row>
    <row r="11" spans="1:24" s="31" customFormat="1" ht="15.75" thickBot="1" x14ac:dyDescent="0.3">
      <c r="A11" s="46" t="s">
        <v>32</v>
      </c>
      <c r="B11" s="21">
        <f t="shared" ref="B11:N11" si="6">SUM(B7:B10)</f>
        <v>5139.6090768733384</v>
      </c>
      <c r="C11" s="21">
        <f t="shared" si="6"/>
        <v>0</v>
      </c>
      <c r="D11" s="21">
        <f t="shared" si="6"/>
        <v>0</v>
      </c>
      <c r="E11" s="21">
        <f t="shared" si="6"/>
        <v>170</v>
      </c>
      <c r="F11" s="21">
        <f t="shared" si="6"/>
        <v>5309.6090768733384</v>
      </c>
      <c r="G11" s="21">
        <f t="shared" si="6"/>
        <v>545.98280554804126</v>
      </c>
      <c r="H11" s="21">
        <f t="shared" si="6"/>
        <v>170</v>
      </c>
      <c r="I11" s="21">
        <f t="shared" si="6"/>
        <v>0</v>
      </c>
      <c r="J11" s="21">
        <f t="shared" si="6"/>
        <v>715.98280554804114</v>
      </c>
      <c r="K11" s="21">
        <f t="shared" si="6"/>
        <v>4593.6262713252972</v>
      </c>
      <c r="L11" s="27">
        <f t="shared" si="6"/>
        <v>5123.275784290252</v>
      </c>
      <c r="M11" s="21">
        <f t="shared" si="6"/>
        <v>4577.9099631954587</v>
      </c>
      <c r="N11" s="21">
        <f t="shared" si="6"/>
        <v>545.98280554804126</v>
      </c>
      <c r="O11" s="21"/>
      <c r="P11" s="21">
        <f>SUM(P7:P10)</f>
        <v>6922.8099999999995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545.98280554804126</v>
      </c>
      <c r="P14" s="65">
        <f>+P11</f>
        <v>6922.8099999999995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1185.0999999999999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308.08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>
        <f>64.745+56.072</f>
        <v>120.81700000000001</v>
      </c>
      <c r="F17" s="60">
        <v>0.2</v>
      </c>
      <c r="G17" s="61">
        <f t="shared" si="7"/>
        <v>24.163400000000003</v>
      </c>
      <c r="H17" s="62" t="s">
        <v>187</v>
      </c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0.32859999999891443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>
        <v>34.44</v>
      </c>
      <c r="F18" s="60">
        <v>0.2</v>
      </c>
      <c r="G18" s="61">
        <f t="shared" si="7"/>
        <v>6.8879999999999999</v>
      </c>
      <c r="H18" s="71" t="s">
        <v>186</v>
      </c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226.35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31.051400000000001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226.35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4327.85041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5171.9000000000005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89</v>
      </c>
      <c r="P28" s="100">
        <f>6555.25/500</f>
        <v>13.1105</v>
      </c>
      <c r="Q28" s="97">
        <f>+O8-P28</f>
        <v>2.6395</v>
      </c>
      <c r="S28" s="48">
        <f>+Q8*-1</f>
        <v>5.6751572762187834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91</v>
      </c>
      <c r="P29" s="100">
        <f>11892.04/990</f>
        <v>12.012161616161617</v>
      </c>
      <c r="Q29" s="97">
        <f>+O9-P29</f>
        <v>2.7378383838383833</v>
      </c>
      <c r="S29" s="48">
        <f>+Q9*-1</f>
        <v>12.664095589575481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+'23-03-2025'!J34</f>
        <v>-65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31.051400000000001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-2.6229447359560254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45713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-65</v>
      </c>
      <c r="K34" s="118" t="s">
        <v>56</v>
      </c>
      <c r="L34" s="125">
        <v>4219.1000000000004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721.7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952.8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463.4</v>
      </c>
      <c r="C36" s="136">
        <v>308.08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45713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4219.1000000000004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1185.0999999999999</v>
      </c>
      <c r="C38" s="153">
        <f>SUM(C35:C37)</f>
        <v>308.08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5171.9000000000005</v>
      </c>
      <c r="M38" s="161" t="s">
        <v>27</v>
      </c>
      <c r="N38" s="162" t="s">
        <v>116</v>
      </c>
      <c r="O38" s="163">
        <f>+L35</f>
        <v>952.8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1493.1799999999998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5171.9000000000005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98.78857142857143</v>
      </c>
      <c r="C42" s="184">
        <v>15.75</v>
      </c>
      <c r="D42" s="185">
        <v>1555.92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296.44338983050847</v>
      </c>
      <c r="C43" s="184">
        <v>14.75</v>
      </c>
      <c r="D43" s="185">
        <v>4372.54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152.3850231941683</v>
      </c>
      <c r="C45" s="184">
        <v>15.09</v>
      </c>
      <c r="D45" s="185">
        <v>2299.4899999999998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168.36582109479303</v>
      </c>
      <c r="C46" s="184">
        <v>7.49</v>
      </c>
      <c r="D46" s="185">
        <v>1261.06</v>
      </c>
      <c r="E46" s="186"/>
      <c r="F46" s="186"/>
      <c r="G46" s="183"/>
      <c r="H46" s="262">
        <f>(L34+B38+P21+P22+P20+L36)-SUM(D42:D45)+(P18+P19)</f>
        <v>-2566.3485999999994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715.98280554804114</v>
      </c>
      <c r="C47" s="216"/>
      <c r="D47" s="217">
        <f>SUM(D42:D46)</f>
        <v>9489.01</v>
      </c>
      <c r="E47" s="217">
        <v>9489.01</v>
      </c>
      <c r="F47" s="186"/>
      <c r="G47" s="183"/>
      <c r="H47" s="263">
        <f>(C36+L35+L37)-D46</f>
        <v>-0.18000000000006366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45742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85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+'25-03-2025'!K7</f>
        <v>1592.9099631954589</v>
      </c>
      <c r="C7" s="22">
        <f>L26+L27</f>
        <v>1431.7562546445381</v>
      </c>
      <c r="D7" s="23"/>
      <c r="E7" s="23"/>
      <c r="F7" s="24">
        <f t="shared" ref="F7:F10" si="0">+B7+C7+D7+E7</f>
        <v>3024.666217839997</v>
      </c>
      <c r="G7" s="25">
        <f>B46-H7</f>
        <v>192.23631508678235</v>
      </c>
      <c r="H7" s="22"/>
      <c r="I7" s="26"/>
      <c r="J7" s="21">
        <f t="shared" ref="J7:J10" si="1">+G7+H7+I7</f>
        <v>192.23631508678235</v>
      </c>
      <c r="K7" s="21">
        <f t="shared" ref="K7:K10" si="2">+F7-J7</f>
        <v>2832.4299027532147</v>
      </c>
      <c r="L7" s="27">
        <f>+'25-03-2025'!M7</f>
        <v>1592.9099631954589</v>
      </c>
      <c r="M7" s="28">
        <v>2832.4299027532147</v>
      </c>
      <c r="N7" s="24">
        <f t="shared" ref="N7:N10" si="3">+G7</f>
        <v>192.23631508678235</v>
      </c>
      <c r="O7" s="24">
        <f>+C46</f>
        <v>7.49</v>
      </c>
      <c r="P7" s="29">
        <f t="shared" ref="P7:P10" si="4">+N7*O7</f>
        <v>1439.85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+'25-03-2025'!K8</f>
        <v>705.67515727621878</v>
      </c>
      <c r="C8" s="22">
        <f>L28</f>
        <v>0</v>
      </c>
      <c r="D8" s="33"/>
      <c r="E8" s="23"/>
      <c r="F8" s="24">
        <f t="shared" si="0"/>
        <v>705.67515727621878</v>
      </c>
      <c r="G8" s="25">
        <f>+B42-H8</f>
        <v>77.236190476190473</v>
      </c>
      <c r="H8" s="22">
        <f>+E8</f>
        <v>0</v>
      </c>
      <c r="I8" s="26"/>
      <c r="J8" s="21">
        <f t="shared" si="1"/>
        <v>77.236190476190473</v>
      </c>
      <c r="K8" s="21">
        <f t="shared" si="2"/>
        <v>628.43896680002831</v>
      </c>
      <c r="L8" s="27">
        <f>+'25-03-2025'!M8</f>
        <v>700</v>
      </c>
      <c r="M8" s="28">
        <v>620</v>
      </c>
      <c r="N8" s="24">
        <f t="shared" si="3"/>
        <v>77.236190476190473</v>
      </c>
      <c r="O8" s="24">
        <f>+C42</f>
        <v>15.75</v>
      </c>
      <c r="P8" s="29">
        <f t="shared" si="4"/>
        <v>1216.47</v>
      </c>
      <c r="Q8" s="30">
        <f t="shared" si="5"/>
        <v>-8.4389668000283109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+'25-03-2025'!K9</f>
        <v>1312.6640955895755</v>
      </c>
      <c r="C9" s="22">
        <f>L29</f>
        <v>0</v>
      </c>
      <c r="D9" s="33"/>
      <c r="E9" s="23"/>
      <c r="F9" s="24">
        <f t="shared" si="0"/>
        <v>1312.6640955895755</v>
      </c>
      <c r="G9" s="25">
        <f>+B43-H9</f>
        <v>116.09491525423729</v>
      </c>
      <c r="H9" s="22">
        <f>+E9</f>
        <v>0</v>
      </c>
      <c r="I9" s="26"/>
      <c r="J9" s="21">
        <f t="shared" si="1"/>
        <v>116.09491525423729</v>
      </c>
      <c r="K9" s="21">
        <f t="shared" si="2"/>
        <v>1196.5691803353382</v>
      </c>
      <c r="L9" s="27">
        <f>+'25-03-2025'!M9</f>
        <v>1300</v>
      </c>
      <c r="M9" s="28">
        <v>1185</v>
      </c>
      <c r="N9" s="24">
        <f t="shared" si="3"/>
        <v>116.09491525423729</v>
      </c>
      <c r="O9" s="24">
        <f>+C43</f>
        <v>14.75</v>
      </c>
      <c r="P9" s="29">
        <f t="shared" si="4"/>
        <v>1712.4</v>
      </c>
      <c r="Q9" s="30">
        <f t="shared" si="5"/>
        <v>-11.56918033533816</v>
      </c>
      <c r="R9" s="34"/>
      <c r="S9" s="32"/>
      <c r="T9" s="38">
        <v>160</v>
      </c>
      <c r="U9" s="32"/>
    </row>
    <row r="10" spans="1:24" s="31" customFormat="1" ht="15.75" thickBot="1" x14ac:dyDescent="0.3">
      <c r="A10" s="39" t="s">
        <v>195</v>
      </c>
      <c r="B10" s="21">
        <f>+'25-03-2025'!K10</f>
        <v>982.37705526404397</v>
      </c>
      <c r="C10" s="40">
        <f>L31</f>
        <v>0</v>
      </c>
      <c r="D10" s="41"/>
      <c r="E10" s="42"/>
      <c r="F10" s="24">
        <f t="shared" si="0"/>
        <v>982.37705526404397</v>
      </c>
      <c r="G10" s="43">
        <f>+B45-H10</f>
        <v>40.823061630218689</v>
      </c>
      <c r="H10" s="40">
        <f>+E10</f>
        <v>0</v>
      </c>
      <c r="I10" s="26"/>
      <c r="J10" s="44">
        <f t="shared" si="1"/>
        <v>40.823061630218689</v>
      </c>
      <c r="K10" s="44">
        <f t="shared" si="2"/>
        <v>941.55399363382526</v>
      </c>
      <c r="L10" s="27">
        <f>+'25-03-2025'!M10</f>
        <v>985</v>
      </c>
      <c r="M10" s="28">
        <v>945</v>
      </c>
      <c r="N10" s="42">
        <f t="shared" si="3"/>
        <v>40.823061630218689</v>
      </c>
      <c r="O10" s="42">
        <f>+C45</f>
        <v>15.09</v>
      </c>
      <c r="P10" s="45">
        <f t="shared" si="4"/>
        <v>616.02</v>
      </c>
      <c r="Q10" s="30">
        <f t="shared" si="5"/>
        <v>3.4460063661747427</v>
      </c>
      <c r="R10" s="34"/>
      <c r="S10" s="32"/>
      <c r="T10" s="38">
        <v>190</v>
      </c>
      <c r="U10" s="32"/>
    </row>
    <row r="11" spans="1:24" s="31" customFormat="1" ht="15.75" thickBot="1" x14ac:dyDescent="0.3">
      <c r="A11" s="46" t="s">
        <v>32</v>
      </c>
      <c r="B11" s="21">
        <f t="shared" ref="B11:N11" si="6">SUM(B7:B10)</f>
        <v>4593.6262713252972</v>
      </c>
      <c r="C11" s="21">
        <f t="shared" si="6"/>
        <v>1431.7562546445381</v>
      </c>
      <c r="D11" s="21">
        <f t="shared" si="6"/>
        <v>0</v>
      </c>
      <c r="E11" s="21">
        <f t="shared" si="6"/>
        <v>0</v>
      </c>
      <c r="F11" s="21">
        <f t="shared" si="6"/>
        <v>6025.3825259698351</v>
      </c>
      <c r="G11" s="21">
        <f t="shared" si="6"/>
        <v>426.39048244742889</v>
      </c>
      <c r="H11" s="21">
        <f t="shared" si="6"/>
        <v>0</v>
      </c>
      <c r="I11" s="21">
        <f t="shared" si="6"/>
        <v>0</v>
      </c>
      <c r="J11" s="21">
        <f t="shared" si="6"/>
        <v>426.39048244742889</v>
      </c>
      <c r="K11" s="21">
        <f t="shared" si="6"/>
        <v>5598.9920435224067</v>
      </c>
      <c r="L11" s="27">
        <f t="shared" si="6"/>
        <v>4577.9099631954587</v>
      </c>
      <c r="M11" s="21">
        <f t="shared" si="6"/>
        <v>5582.4299027532143</v>
      </c>
      <c r="N11" s="21">
        <f t="shared" si="6"/>
        <v>426.39048244742889</v>
      </c>
      <c r="O11" s="21"/>
      <c r="P11" s="21">
        <f>SUM(P7:P10)</f>
        <v>4984.74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426.39048244742889</v>
      </c>
      <c r="P14" s="65">
        <f>+P11</f>
        <v>4984.74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707.46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381.8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7.9999999999472493E-2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50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3845.4000000000005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1431.7562546445381</v>
      </c>
      <c r="M26" s="94" t="s">
        <v>189</v>
      </c>
      <c r="N26" s="94" t="s">
        <v>156</v>
      </c>
      <c r="O26" s="95" t="s">
        <v>144</v>
      </c>
      <c r="P26" s="96" t="str">
        <f>+I42&amp;"   "&amp;"kg"</f>
        <v>2890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89</v>
      </c>
      <c r="P28" s="100">
        <f>6555.25/500</f>
        <v>13.1105</v>
      </c>
      <c r="Q28" s="97">
        <f>+O8-P28</f>
        <v>2.6395</v>
      </c>
      <c r="S28" s="48">
        <f>+Q8*-1</f>
        <v>8.4389668000283109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91</v>
      </c>
      <c r="P29" s="100">
        <f>11892.04/990</f>
        <v>12.012161616161617</v>
      </c>
      <c r="Q29" s="97">
        <f>+O9-P29</f>
        <v>2.7378383838383833</v>
      </c>
      <c r="S29" s="48">
        <f>+Q9*-1</f>
        <v>11.56918033533816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+'23-03-2025'!J34</f>
        <v>-65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>
        <v>50</v>
      </c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-3.4460063661747427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45742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-115</v>
      </c>
      <c r="K34" s="118" t="s">
        <v>56</v>
      </c>
      <c r="L34" s="125">
        <v>2787.4000000000005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507.46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1058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200</v>
      </c>
      <c r="C36" s="136">
        <v>381.8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45742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2787.4000000000005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707.46</v>
      </c>
      <c r="C38" s="153">
        <f>SUM(C35:C37)</f>
        <v>381.8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3845.4000000000005</v>
      </c>
      <c r="M38" s="161" t="s">
        <v>27</v>
      </c>
      <c r="N38" s="162" t="s">
        <v>116</v>
      </c>
      <c r="O38" s="163">
        <f>+L35</f>
        <v>1058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1089.26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3845.4000000000005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77.236190476190473</v>
      </c>
      <c r="C42" s="184">
        <v>15.75</v>
      </c>
      <c r="D42" s="185">
        <v>1216.47</v>
      </c>
      <c r="E42" s="186"/>
      <c r="F42" s="186"/>
      <c r="G42" s="183"/>
      <c r="H42" s="187" t="s">
        <v>124</v>
      </c>
      <c r="I42" s="188" t="s">
        <v>188</v>
      </c>
      <c r="J42" s="189">
        <v>2.0185</v>
      </c>
      <c r="K42" s="190">
        <f>+I42/J42</f>
        <v>1431.7562546445381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116.09491525423729</v>
      </c>
      <c r="C43" s="184">
        <v>14.75</v>
      </c>
      <c r="D43" s="185">
        <v>1712.4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40.823061630218689</v>
      </c>
      <c r="C45" s="184">
        <v>15.09</v>
      </c>
      <c r="D45" s="185">
        <v>616.02</v>
      </c>
      <c r="E45" s="186"/>
      <c r="F45" s="186"/>
      <c r="G45" s="183"/>
      <c r="H45" s="206" t="s">
        <v>130</v>
      </c>
      <c r="I45" s="207">
        <f>+K45/J45</f>
        <v>2.2852324803565986</v>
      </c>
      <c r="J45" s="208">
        <f>+J43</f>
        <v>3.7854000000000001</v>
      </c>
      <c r="K45" s="209">
        <f>+L45/I42</f>
        <v>8.6505190311418687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192.23631508678235</v>
      </c>
      <c r="C46" s="184">
        <v>7.49</v>
      </c>
      <c r="D46" s="185">
        <v>1439.85</v>
      </c>
      <c r="E46" s="186"/>
      <c r="F46" s="186"/>
      <c r="G46" s="183"/>
      <c r="H46" s="262">
        <f>(L34+B38+P21+P22+P20+L36)-SUM(D42:D45)+(P18+P19)</f>
        <v>-2.9999999999290594E-2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426.39048244742878</v>
      </c>
      <c r="C47" s="216"/>
      <c r="D47" s="217">
        <f>SUM(D42:D46)</f>
        <v>4984.74</v>
      </c>
      <c r="E47" s="217">
        <v>4984.74</v>
      </c>
      <c r="F47" s="186"/>
      <c r="G47" s="183"/>
      <c r="H47" s="263">
        <f>(C36+L35+L37)-D46</f>
        <v>-4.9999999999954525E-2</v>
      </c>
      <c r="I47" s="220" t="s">
        <v>88</v>
      </c>
      <c r="J47" s="221" t="s">
        <v>135</v>
      </c>
      <c r="K47" s="222">
        <v>2.0185</v>
      </c>
      <c r="L47" s="223">
        <f>+K45-K43</f>
        <v>1.1605190311418685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45743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86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+'26-03-2025'!K7</f>
        <v>2832.4299027532147</v>
      </c>
      <c r="C7" s="22">
        <f>L26+L27</f>
        <v>0</v>
      </c>
      <c r="D7" s="23"/>
      <c r="E7" s="23"/>
      <c r="F7" s="24">
        <f t="shared" ref="F7:F10" si="0">+B7+C7+D7+E7</f>
        <v>2832.4299027532147</v>
      </c>
      <c r="G7" s="25">
        <f>B46-H7</f>
        <v>155.37516688918558</v>
      </c>
      <c r="H7" s="22"/>
      <c r="I7" s="26"/>
      <c r="J7" s="21">
        <f t="shared" ref="J7:J10" si="1">+G7+H7+I7</f>
        <v>155.37516688918558</v>
      </c>
      <c r="K7" s="21">
        <f t="shared" ref="K7:K10" si="2">+F7-J7</f>
        <v>2677.0547358640292</v>
      </c>
      <c r="L7" s="27">
        <f>+'26-03-2025'!M7</f>
        <v>2832.4299027532147</v>
      </c>
      <c r="M7" s="28">
        <v>2677.0547358640292</v>
      </c>
      <c r="N7" s="24">
        <f t="shared" ref="N7:N10" si="3">+G7</f>
        <v>155.37516688918558</v>
      </c>
      <c r="O7" s="24">
        <f>+C46</f>
        <v>7.49</v>
      </c>
      <c r="P7" s="29">
        <f t="shared" ref="P7:P10" si="4">+N7*O7</f>
        <v>1163.76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+'26-03-2025'!K8</f>
        <v>628.43896680002831</v>
      </c>
      <c r="C8" s="22">
        <f>L28</f>
        <v>990</v>
      </c>
      <c r="D8" s="33"/>
      <c r="E8" s="23"/>
      <c r="F8" s="24">
        <f t="shared" si="0"/>
        <v>1618.4389668000283</v>
      </c>
      <c r="G8" s="25">
        <f>+B42-H8</f>
        <v>77.725079365079367</v>
      </c>
      <c r="H8" s="22">
        <f>+E8</f>
        <v>0</v>
      </c>
      <c r="I8" s="26"/>
      <c r="J8" s="21">
        <f t="shared" si="1"/>
        <v>77.725079365079367</v>
      </c>
      <c r="K8" s="21">
        <f t="shared" si="2"/>
        <v>1540.7138874349489</v>
      </c>
      <c r="L8" s="27">
        <f>+'26-03-2025'!M8</f>
        <v>620</v>
      </c>
      <c r="M8" s="28">
        <v>1535</v>
      </c>
      <c r="N8" s="24">
        <f t="shared" si="3"/>
        <v>77.725079365079367</v>
      </c>
      <c r="O8" s="24">
        <f>+C42</f>
        <v>15.75</v>
      </c>
      <c r="P8" s="29">
        <f t="shared" si="4"/>
        <v>1224.17</v>
      </c>
      <c r="Q8" s="30">
        <f t="shared" si="5"/>
        <v>-5.7138874349489015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+'26-03-2025'!K9</f>
        <v>1196.5691803353382</v>
      </c>
      <c r="C9" s="22">
        <f>L29</f>
        <v>0</v>
      </c>
      <c r="D9" s="33"/>
      <c r="E9" s="23"/>
      <c r="F9" s="24">
        <f t="shared" si="0"/>
        <v>1196.5691803353382</v>
      </c>
      <c r="G9" s="25">
        <f>+B43-H9</f>
        <v>90.613559322033893</v>
      </c>
      <c r="H9" s="22">
        <f>+E9</f>
        <v>0</v>
      </c>
      <c r="I9" s="26"/>
      <c r="J9" s="21">
        <f t="shared" si="1"/>
        <v>90.613559322033893</v>
      </c>
      <c r="K9" s="21">
        <f t="shared" si="2"/>
        <v>1105.9556210133042</v>
      </c>
      <c r="L9" s="27">
        <f>+'26-03-2025'!M9</f>
        <v>1185</v>
      </c>
      <c r="M9" s="28">
        <v>1095</v>
      </c>
      <c r="N9" s="24">
        <f t="shared" si="3"/>
        <v>90.613559322033893</v>
      </c>
      <c r="O9" s="24">
        <f>+C43</f>
        <v>14.75</v>
      </c>
      <c r="P9" s="29">
        <f t="shared" si="4"/>
        <v>1336.55</v>
      </c>
      <c r="Q9" s="30">
        <f t="shared" si="5"/>
        <v>-10.955621013304153</v>
      </c>
      <c r="R9" s="34"/>
      <c r="S9" s="32"/>
      <c r="T9" s="38">
        <v>160</v>
      </c>
      <c r="U9" s="32"/>
    </row>
    <row r="10" spans="1:24" s="31" customFormat="1" ht="15.75" thickBot="1" x14ac:dyDescent="0.3">
      <c r="A10" s="39" t="s">
        <v>195</v>
      </c>
      <c r="B10" s="21">
        <f>+'26-03-2025'!K10</f>
        <v>941.55399363382526</v>
      </c>
      <c r="C10" s="40">
        <f>L31</f>
        <v>0</v>
      </c>
      <c r="D10" s="41"/>
      <c r="E10" s="42"/>
      <c r="F10" s="24">
        <f t="shared" si="0"/>
        <v>941.55399363382526</v>
      </c>
      <c r="G10" s="43">
        <f>+B45-H10</f>
        <v>82.277667329357186</v>
      </c>
      <c r="H10" s="40">
        <f>+E10</f>
        <v>0</v>
      </c>
      <c r="I10" s="26"/>
      <c r="J10" s="44">
        <f t="shared" si="1"/>
        <v>82.277667329357186</v>
      </c>
      <c r="K10" s="44">
        <f t="shared" si="2"/>
        <v>859.27632630446806</v>
      </c>
      <c r="L10" s="27">
        <f>+'26-03-2025'!M10</f>
        <v>945</v>
      </c>
      <c r="M10" s="28">
        <v>860</v>
      </c>
      <c r="N10" s="42">
        <f t="shared" si="3"/>
        <v>82.277667329357186</v>
      </c>
      <c r="O10" s="42">
        <f>+C45</f>
        <v>15.09</v>
      </c>
      <c r="P10" s="45">
        <f t="shared" si="4"/>
        <v>1241.57</v>
      </c>
      <c r="Q10" s="30">
        <f t="shared" si="5"/>
        <v>0.72367369553194294</v>
      </c>
      <c r="R10" s="34"/>
      <c r="S10" s="32"/>
      <c r="T10" s="38">
        <v>190</v>
      </c>
      <c r="U10" s="32"/>
    </row>
    <row r="11" spans="1:24" s="31" customFormat="1" ht="15.75" thickBot="1" x14ac:dyDescent="0.3">
      <c r="A11" s="46" t="s">
        <v>32</v>
      </c>
      <c r="B11" s="21">
        <f t="shared" ref="B11:N11" si="6">SUM(B7:B10)</f>
        <v>5598.9920435224067</v>
      </c>
      <c r="C11" s="21">
        <f t="shared" si="6"/>
        <v>990</v>
      </c>
      <c r="D11" s="21">
        <f t="shared" si="6"/>
        <v>0</v>
      </c>
      <c r="E11" s="21">
        <f t="shared" si="6"/>
        <v>0</v>
      </c>
      <c r="F11" s="21">
        <f t="shared" si="6"/>
        <v>6588.9920435224067</v>
      </c>
      <c r="G11" s="21">
        <f t="shared" si="6"/>
        <v>405.99147290565605</v>
      </c>
      <c r="H11" s="21">
        <f t="shared" si="6"/>
        <v>0</v>
      </c>
      <c r="I11" s="21">
        <f t="shared" si="6"/>
        <v>0</v>
      </c>
      <c r="J11" s="21">
        <f t="shared" si="6"/>
        <v>405.99147290565605</v>
      </c>
      <c r="K11" s="21">
        <f t="shared" si="6"/>
        <v>6183.0005706167503</v>
      </c>
      <c r="L11" s="27">
        <f t="shared" si="6"/>
        <v>5582.4299027532143</v>
      </c>
      <c r="M11" s="21">
        <f t="shared" si="6"/>
        <v>6167.0547358640288</v>
      </c>
      <c r="N11" s="21">
        <f t="shared" si="6"/>
        <v>405.99147290565605</v>
      </c>
      <c r="O11" s="21"/>
      <c r="P11" s="21">
        <f>SUM(P7:P10)</f>
        <v>4966.05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405.99147290565605</v>
      </c>
      <c r="P14" s="65">
        <f>+P11</f>
        <v>4966.05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1770.1799999999998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288.8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0.27000000000020918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600.58000000000004</v>
      </c>
      <c r="K20" s="76" t="s">
        <v>67</v>
      </c>
      <c r="L20" s="73">
        <f>+E24*(O10-F24)+E25*(O8-F25)+E26*(O9-F26)+E27*(O7-F27)</f>
        <v>271.92</v>
      </c>
      <c r="M20" s="288" t="s">
        <v>68</v>
      </c>
      <c r="N20" s="289"/>
      <c r="O20" s="290"/>
      <c r="P20" s="77">
        <f>+L20</f>
        <v>271.92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>
        <v>271.92</v>
      </c>
      <c r="M22" s="288" t="s">
        <v>74</v>
      </c>
      <c r="N22" s="289"/>
      <c r="O22" s="290"/>
      <c r="P22" s="77">
        <f>+J37+J20+J26+J31+J32</f>
        <v>620.58000000000004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4702.0804099999996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2014.3000000000002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>
        <f>271.92/15.09</f>
        <v>18.019880715705767</v>
      </c>
      <c r="F24" s="60">
        <v>0</v>
      </c>
      <c r="G24" s="61">
        <f t="shared" si="7"/>
        <v>0</v>
      </c>
      <c r="H24" s="71" t="s">
        <v>190</v>
      </c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>
        <v>990</v>
      </c>
      <c r="M28" s="94" t="s">
        <v>191</v>
      </c>
      <c r="N28" s="94" t="s">
        <v>158</v>
      </c>
      <c r="O28" s="95" t="s">
        <v>91</v>
      </c>
      <c r="P28" s="100">
        <f>13044.36/990</f>
        <v>13.176121212121213</v>
      </c>
      <c r="Q28" s="97">
        <f>+O8-P28</f>
        <v>2.5738787878787868</v>
      </c>
      <c r="S28" s="48">
        <f>+Q8*-1</f>
        <v>5.7138874349489015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91</v>
      </c>
      <c r="P29" s="100">
        <f>11892.04/990</f>
        <v>12.012161616161617</v>
      </c>
      <c r="Q29" s="97">
        <f>+O9-P29</f>
        <v>2.7378383838383833</v>
      </c>
      <c r="S29" s="48">
        <f>+Q9*-1</f>
        <v>10.955621013304153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+'26-03-2025'!J34</f>
        <v>-115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>
        <v>20</v>
      </c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-0.72367369553194294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45743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-135</v>
      </c>
      <c r="K34" s="118" t="s">
        <v>56</v>
      </c>
      <c r="L34" s="125">
        <v>1139.5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1275.3399999999999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874.8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494.84</v>
      </c>
      <c r="C36" s="136">
        <v>288.8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45743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1139.5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1770.1799999999998</v>
      </c>
      <c r="C38" s="153">
        <f>SUM(C35:C37)</f>
        <v>288.8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2014.3</v>
      </c>
      <c r="M38" s="161" t="s">
        <v>27</v>
      </c>
      <c r="N38" s="162" t="s">
        <v>116</v>
      </c>
      <c r="O38" s="163">
        <f>+L35</f>
        <v>874.8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2058.98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2014.3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77.725079365079367</v>
      </c>
      <c r="C42" s="184">
        <v>15.75</v>
      </c>
      <c r="D42" s="185">
        <v>1224.17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90.613559322033893</v>
      </c>
      <c r="C43" s="184">
        <v>14.75</v>
      </c>
      <c r="D43" s="185">
        <v>1336.55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82.277667329357186</v>
      </c>
      <c r="C45" s="184">
        <v>15.09</v>
      </c>
      <c r="D45" s="185">
        <v>1241.57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155.37516688918558</v>
      </c>
      <c r="C46" s="184">
        <v>7.49</v>
      </c>
      <c r="D46" s="185">
        <v>1163.76</v>
      </c>
      <c r="E46" s="186"/>
      <c r="F46" s="186"/>
      <c r="G46" s="183"/>
      <c r="H46" s="262">
        <f>(L34+B38+P21+P22+P20+L36)-SUM(D42:D45)+(P18+P19)</f>
        <v>-0.11000000000012733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405.991472905656</v>
      </c>
      <c r="C47" s="216"/>
      <c r="D47" s="217">
        <f>SUM(D42:D46)</f>
        <v>4966.05</v>
      </c>
      <c r="E47" s="217">
        <v>4966.05</v>
      </c>
      <c r="F47" s="186"/>
      <c r="G47" s="183"/>
      <c r="H47" s="263">
        <f>(C36+L35+L37)-D46</f>
        <v>-0.16000000000008185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45744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87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+'27-03-2025'!K7</f>
        <v>2677.0547358640292</v>
      </c>
      <c r="C7" s="22">
        <f>L26+L27</f>
        <v>0</v>
      </c>
      <c r="D7" s="23"/>
      <c r="E7" s="23"/>
      <c r="F7" s="24">
        <f t="shared" ref="F7:F10" si="0">+B7+C7+D7+E7</f>
        <v>2677.0547358640292</v>
      </c>
      <c r="G7" s="25">
        <f>B46-H7</f>
        <v>157.16555407209614</v>
      </c>
      <c r="H7" s="22"/>
      <c r="I7" s="26"/>
      <c r="J7" s="21">
        <f t="shared" ref="J7:J10" si="1">+G7+H7+I7</f>
        <v>157.16555407209614</v>
      </c>
      <c r="K7" s="21">
        <f t="shared" ref="K7:K10" si="2">+F7-J7</f>
        <v>2519.889181791933</v>
      </c>
      <c r="L7" s="27">
        <f>+'27-03-2025'!M7</f>
        <v>2677.0547358640292</v>
      </c>
      <c r="M7" s="28">
        <v>2519.889181791933</v>
      </c>
      <c r="N7" s="24">
        <f t="shared" ref="N7:N10" si="3">+G7</f>
        <v>157.16555407209614</v>
      </c>
      <c r="O7" s="24">
        <f>+C46</f>
        <v>7.49</v>
      </c>
      <c r="P7" s="29">
        <f t="shared" ref="P7:P10" si="4">+N7*O7</f>
        <v>1177.17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+'27-03-2025'!K8</f>
        <v>1540.7138874349489</v>
      </c>
      <c r="C8" s="22">
        <f>L28</f>
        <v>0</v>
      </c>
      <c r="D8" s="33"/>
      <c r="E8" s="23"/>
      <c r="F8" s="24">
        <f t="shared" si="0"/>
        <v>1540.7138874349489</v>
      </c>
      <c r="G8" s="25">
        <f>+B42-H8</f>
        <v>73.526984126984118</v>
      </c>
      <c r="H8" s="22">
        <f>+E8</f>
        <v>0</v>
      </c>
      <c r="I8" s="26"/>
      <c r="J8" s="21">
        <f t="shared" si="1"/>
        <v>73.526984126984118</v>
      </c>
      <c r="K8" s="21">
        <f t="shared" si="2"/>
        <v>1467.1869033079647</v>
      </c>
      <c r="L8" s="27">
        <f>+'27-03-2025'!M8</f>
        <v>1535</v>
      </c>
      <c r="M8" s="28">
        <v>1460</v>
      </c>
      <c r="N8" s="24">
        <f t="shared" si="3"/>
        <v>73.526984126984118</v>
      </c>
      <c r="O8" s="24">
        <f>+C42</f>
        <v>15.75</v>
      </c>
      <c r="P8" s="29">
        <f t="shared" si="4"/>
        <v>1158.05</v>
      </c>
      <c r="Q8" s="30">
        <f t="shared" si="5"/>
        <v>-7.1869033079647124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+'27-03-2025'!K9</f>
        <v>1105.9556210133042</v>
      </c>
      <c r="C9" s="22">
        <f>L29</f>
        <v>0</v>
      </c>
      <c r="D9" s="33"/>
      <c r="E9" s="23"/>
      <c r="F9" s="24">
        <f t="shared" si="0"/>
        <v>1105.9556210133042</v>
      </c>
      <c r="G9" s="25">
        <f>+B43-H9</f>
        <v>70.709152542372877</v>
      </c>
      <c r="H9" s="22">
        <f>+E9</f>
        <v>0</v>
      </c>
      <c r="I9" s="26"/>
      <c r="J9" s="21">
        <f t="shared" si="1"/>
        <v>70.709152542372877</v>
      </c>
      <c r="K9" s="21">
        <f t="shared" si="2"/>
        <v>1035.2464684709312</v>
      </c>
      <c r="L9" s="27">
        <f>+'27-03-2025'!M9</f>
        <v>1095</v>
      </c>
      <c r="M9" s="28">
        <v>1025</v>
      </c>
      <c r="N9" s="24">
        <f t="shared" si="3"/>
        <v>70.709152542372877</v>
      </c>
      <c r="O9" s="24">
        <f>+C43</f>
        <v>14.75</v>
      </c>
      <c r="P9" s="29">
        <f t="shared" si="4"/>
        <v>1042.96</v>
      </c>
      <c r="Q9" s="30">
        <f t="shared" si="5"/>
        <v>-10.246468470931177</v>
      </c>
      <c r="R9" s="34"/>
      <c r="S9" s="32"/>
      <c r="T9" s="38">
        <v>160</v>
      </c>
      <c r="U9" s="32"/>
    </row>
    <row r="10" spans="1:24" s="31" customFormat="1" ht="15.75" thickBot="1" x14ac:dyDescent="0.3">
      <c r="A10" s="39" t="s">
        <v>195</v>
      </c>
      <c r="B10" s="21">
        <f>+'27-03-2025'!K10</f>
        <v>859.27632630446806</v>
      </c>
      <c r="C10" s="40">
        <f>L31</f>
        <v>980</v>
      </c>
      <c r="D10" s="41"/>
      <c r="E10" s="42"/>
      <c r="F10" s="24">
        <f t="shared" si="0"/>
        <v>1839.2763263044681</v>
      </c>
      <c r="G10" s="43">
        <f>+B45-H10</f>
        <v>77.145791915175622</v>
      </c>
      <c r="H10" s="40">
        <f>+E10</f>
        <v>0</v>
      </c>
      <c r="I10" s="26"/>
      <c r="J10" s="44">
        <f t="shared" si="1"/>
        <v>77.145791915175622</v>
      </c>
      <c r="K10" s="44">
        <f t="shared" si="2"/>
        <v>1762.1305343892925</v>
      </c>
      <c r="L10" s="27">
        <f>+'27-03-2025'!M10</f>
        <v>860</v>
      </c>
      <c r="M10" s="28">
        <v>1760</v>
      </c>
      <c r="N10" s="42">
        <f t="shared" si="3"/>
        <v>77.145791915175622</v>
      </c>
      <c r="O10" s="42">
        <f>+C45</f>
        <v>15.09</v>
      </c>
      <c r="P10" s="45">
        <f t="shared" si="4"/>
        <v>1164.1300000000001</v>
      </c>
      <c r="Q10" s="30">
        <f t="shared" si="5"/>
        <v>-2.1305343892925066</v>
      </c>
      <c r="R10" s="34"/>
      <c r="S10" s="32"/>
      <c r="T10" s="38">
        <v>190</v>
      </c>
      <c r="U10" s="32"/>
    </row>
    <row r="11" spans="1:24" s="31" customFormat="1" ht="15.75" thickBot="1" x14ac:dyDescent="0.3">
      <c r="A11" s="46" t="s">
        <v>32</v>
      </c>
      <c r="B11" s="21">
        <f t="shared" ref="B11:N11" si="6">SUM(B7:B10)</f>
        <v>6183.0005706167503</v>
      </c>
      <c r="C11" s="21">
        <f t="shared" si="6"/>
        <v>980</v>
      </c>
      <c r="D11" s="21">
        <f t="shared" si="6"/>
        <v>0</v>
      </c>
      <c r="E11" s="21">
        <f t="shared" si="6"/>
        <v>0</v>
      </c>
      <c r="F11" s="21">
        <f t="shared" si="6"/>
        <v>7163.0005706167503</v>
      </c>
      <c r="G11" s="21">
        <f t="shared" si="6"/>
        <v>378.54748265662874</v>
      </c>
      <c r="H11" s="21">
        <f t="shared" si="6"/>
        <v>0</v>
      </c>
      <c r="I11" s="21">
        <f t="shared" si="6"/>
        <v>0</v>
      </c>
      <c r="J11" s="21">
        <f t="shared" si="6"/>
        <v>378.54748265662874</v>
      </c>
      <c r="K11" s="21">
        <f t="shared" si="6"/>
        <v>6784.4530879601216</v>
      </c>
      <c r="L11" s="27">
        <f t="shared" si="6"/>
        <v>6167.0547358640288</v>
      </c>
      <c r="M11" s="21">
        <f t="shared" si="6"/>
        <v>6764.889181791933</v>
      </c>
      <c r="N11" s="21">
        <f t="shared" si="6"/>
        <v>378.54748265662874</v>
      </c>
      <c r="O11" s="21"/>
      <c r="P11" s="21">
        <f>SUM(P7:P10)</f>
        <v>4542.3100000000004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378.54748265662874</v>
      </c>
      <c r="P14" s="65">
        <f>+P11</f>
        <v>4542.3100000000004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783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298.26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4.9200000000005275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490.13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540.13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4591.6304099999998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2916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13044.36/990</f>
        <v>13.176121212121213</v>
      </c>
      <c r="Q28" s="97">
        <f>+O8-P28</f>
        <v>2.5738787878787868</v>
      </c>
      <c r="S28" s="48">
        <f>+Q8*-1</f>
        <v>7.1869033079647124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91</v>
      </c>
      <c r="P29" s="100">
        <f>11892.04/990</f>
        <v>12.012161616161617</v>
      </c>
      <c r="Q29" s="97">
        <f>+O9-P29</f>
        <v>2.7378383838383833</v>
      </c>
      <c r="S29" s="48">
        <f>+Q9*-1</f>
        <v>10.246468470931177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+'27-03-2025'!J34</f>
        <v>-135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>
        <v>50</v>
      </c>
      <c r="K31" s="106" t="s">
        <v>31</v>
      </c>
      <c r="L31" s="92">
        <v>980</v>
      </c>
      <c r="M31" s="94" t="s">
        <v>193</v>
      </c>
      <c r="N31" s="94" t="s">
        <v>158</v>
      </c>
      <c r="O31" s="95" t="s">
        <v>91</v>
      </c>
      <c r="P31" s="100">
        <f>12240.38/980</f>
        <v>12.490183673469387</v>
      </c>
      <c r="Q31" s="97">
        <f>+O10-P31</f>
        <v>2.5998163265306129</v>
      </c>
      <c r="R31" s="3" t="s">
        <v>97</v>
      </c>
      <c r="S31" s="48">
        <f t="shared" ref="S31" si="8">+Q10*-1</f>
        <v>2.1305343892925066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45744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-185</v>
      </c>
      <c r="K34" s="118" t="s">
        <v>56</v>
      </c>
      <c r="L34" s="125">
        <v>2037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496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879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287</v>
      </c>
      <c r="C36" s="136">
        <v>298.26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45744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2037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783</v>
      </c>
      <c r="C38" s="153">
        <f>SUM(C35:C37)</f>
        <v>298.26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2916</v>
      </c>
      <c r="M38" s="161" t="s">
        <v>27</v>
      </c>
      <c r="N38" s="162" t="s">
        <v>116</v>
      </c>
      <c r="O38" s="163">
        <f>+L35</f>
        <v>879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1081.26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2916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73.526984126984118</v>
      </c>
      <c r="C42" s="184">
        <v>15.75</v>
      </c>
      <c r="D42" s="185">
        <v>1158.05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70.709152542372877</v>
      </c>
      <c r="C43" s="184">
        <v>14.75</v>
      </c>
      <c r="D43" s="185">
        <v>1042.96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77.145791915175622</v>
      </c>
      <c r="C45" s="184">
        <v>15.09</v>
      </c>
      <c r="D45" s="185">
        <v>1164.1300000000001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157.16555407209614</v>
      </c>
      <c r="C46" s="184">
        <v>7.49</v>
      </c>
      <c r="D46" s="185">
        <v>1177.17</v>
      </c>
      <c r="E46" s="186"/>
      <c r="F46" s="186"/>
      <c r="G46" s="183"/>
      <c r="H46" s="262">
        <f>(L34+B38+P21+P22+P20+L36)-SUM(D42:D45)+(P18+P19)</f>
        <v>-5.0100000000002183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378.54748265662874</v>
      </c>
      <c r="C47" s="216"/>
      <c r="D47" s="217">
        <f>SUM(D42:D46)</f>
        <v>4542.3100000000004</v>
      </c>
      <c r="E47" s="217">
        <v>4542.3100000000004</v>
      </c>
      <c r="F47" s="186"/>
      <c r="G47" s="183"/>
      <c r="H47" s="263">
        <f>(C36+L35+L37)-D46</f>
        <v>8.9999999999918145E-2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45745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88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+'28-03-2025'!K7</f>
        <v>2519.889181791933</v>
      </c>
      <c r="C7" s="22">
        <f>L26+L27</f>
        <v>0</v>
      </c>
      <c r="D7" s="23"/>
      <c r="E7" s="23"/>
      <c r="F7" s="24">
        <f t="shared" ref="F7:F10" si="0">+B7+C7+D7+E7</f>
        <v>2519.889181791933</v>
      </c>
      <c r="G7" s="25">
        <f>B46-H7</f>
        <v>143.61014686248333</v>
      </c>
      <c r="H7" s="22"/>
      <c r="I7" s="26"/>
      <c r="J7" s="21">
        <f t="shared" ref="J7:J10" si="1">+G7+H7+I7</f>
        <v>143.61014686248333</v>
      </c>
      <c r="K7" s="21">
        <f t="shared" ref="K7:K10" si="2">+F7-J7</f>
        <v>2376.2790349294496</v>
      </c>
      <c r="L7" s="27">
        <f>+'28-03-2025'!M7</f>
        <v>2519.889181791933</v>
      </c>
      <c r="M7" s="28">
        <v>2376.2790349294496</v>
      </c>
      <c r="N7" s="24">
        <f t="shared" ref="N7:N10" si="3">+G7</f>
        <v>143.61014686248333</v>
      </c>
      <c r="O7" s="24">
        <f>+C46</f>
        <v>7.49</v>
      </c>
      <c r="P7" s="29">
        <f t="shared" ref="P7:P10" si="4">+N7*O7</f>
        <v>1075.6400000000001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+'28-03-2025'!K8</f>
        <v>1467.1869033079647</v>
      </c>
      <c r="C8" s="22">
        <f>L28</f>
        <v>0</v>
      </c>
      <c r="D8" s="33"/>
      <c r="E8" s="23"/>
      <c r="F8" s="24">
        <f t="shared" si="0"/>
        <v>1467.1869033079647</v>
      </c>
      <c r="G8" s="25">
        <f>+B42-H8</f>
        <v>94.263492063492066</v>
      </c>
      <c r="H8" s="22">
        <f>+E8</f>
        <v>0</v>
      </c>
      <c r="I8" s="26"/>
      <c r="J8" s="21">
        <f t="shared" si="1"/>
        <v>94.263492063492066</v>
      </c>
      <c r="K8" s="21">
        <f t="shared" si="2"/>
        <v>1372.9234112444726</v>
      </c>
      <c r="L8" s="27">
        <f>+'28-03-2025'!M8</f>
        <v>1460</v>
      </c>
      <c r="M8" s="28">
        <v>1365</v>
      </c>
      <c r="N8" s="24">
        <f t="shared" si="3"/>
        <v>94.263492063492066</v>
      </c>
      <c r="O8" s="24">
        <f>+C42</f>
        <v>15.75</v>
      </c>
      <c r="P8" s="29">
        <f t="shared" si="4"/>
        <v>1484.65</v>
      </c>
      <c r="Q8" s="30">
        <f t="shared" si="5"/>
        <v>-7.9234112444726179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+'28-03-2025'!K9</f>
        <v>1035.2464684709312</v>
      </c>
      <c r="C9" s="22">
        <f>L29</f>
        <v>0</v>
      </c>
      <c r="D9" s="33"/>
      <c r="E9" s="23"/>
      <c r="F9" s="24">
        <f t="shared" si="0"/>
        <v>1035.2464684709312</v>
      </c>
      <c r="G9" s="25">
        <f>+B43-H9</f>
        <v>50.782372881355933</v>
      </c>
      <c r="H9" s="22">
        <f>+E9</f>
        <v>0</v>
      </c>
      <c r="I9" s="26"/>
      <c r="J9" s="21">
        <f t="shared" si="1"/>
        <v>50.782372881355933</v>
      </c>
      <c r="K9" s="21">
        <f t="shared" si="2"/>
        <v>984.46409558957521</v>
      </c>
      <c r="L9" s="27">
        <f>+'28-03-2025'!M9</f>
        <v>1025</v>
      </c>
      <c r="M9" s="28">
        <v>975</v>
      </c>
      <c r="N9" s="24">
        <f t="shared" si="3"/>
        <v>50.782372881355933</v>
      </c>
      <c r="O9" s="24">
        <f>+C43</f>
        <v>14.75</v>
      </c>
      <c r="P9" s="29">
        <f t="shared" si="4"/>
        <v>749.04</v>
      </c>
      <c r="Q9" s="30">
        <f t="shared" si="5"/>
        <v>-9.4640955895752086</v>
      </c>
      <c r="R9" s="34"/>
      <c r="S9" s="32"/>
      <c r="T9" s="38">
        <v>160</v>
      </c>
      <c r="U9" s="32"/>
    </row>
    <row r="10" spans="1:24" s="31" customFormat="1" ht="15.75" thickBot="1" x14ac:dyDescent="0.3">
      <c r="A10" s="39" t="s">
        <v>195</v>
      </c>
      <c r="B10" s="21">
        <f>+'28-03-2025'!K10</f>
        <v>1762.1305343892925</v>
      </c>
      <c r="C10" s="40">
        <f>L31</f>
        <v>0</v>
      </c>
      <c r="D10" s="41"/>
      <c r="E10" s="42"/>
      <c r="F10" s="24">
        <f t="shared" si="0"/>
        <v>1762.1305343892925</v>
      </c>
      <c r="G10" s="43">
        <f>+B45-H10</f>
        <v>133.83764082173624</v>
      </c>
      <c r="H10" s="40">
        <f>+E10</f>
        <v>0</v>
      </c>
      <c r="I10" s="26"/>
      <c r="J10" s="44">
        <f t="shared" si="1"/>
        <v>133.83764082173624</v>
      </c>
      <c r="K10" s="44">
        <f t="shared" si="2"/>
        <v>1628.2928935675563</v>
      </c>
      <c r="L10" s="27">
        <f>+'28-03-2025'!M10</f>
        <v>1760</v>
      </c>
      <c r="M10" s="28">
        <v>1630</v>
      </c>
      <c r="N10" s="42">
        <f t="shared" si="3"/>
        <v>133.83764082173624</v>
      </c>
      <c r="O10" s="42">
        <f>+C45</f>
        <v>15.09</v>
      </c>
      <c r="P10" s="45">
        <f t="shared" si="4"/>
        <v>2019.61</v>
      </c>
      <c r="Q10" s="30">
        <f t="shared" si="5"/>
        <v>1.707106432443652</v>
      </c>
      <c r="R10" s="34"/>
      <c r="S10" s="32"/>
      <c r="T10" s="38">
        <v>190</v>
      </c>
      <c r="U10" s="32"/>
    </row>
    <row r="11" spans="1:24" s="31" customFormat="1" ht="15.75" thickBot="1" x14ac:dyDescent="0.3">
      <c r="A11" s="46" t="s">
        <v>32</v>
      </c>
      <c r="B11" s="21">
        <f t="shared" ref="B11:N11" si="6">SUM(B7:B10)</f>
        <v>6784.4530879601216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6784.4530879601216</v>
      </c>
      <c r="G11" s="21">
        <f t="shared" si="6"/>
        <v>422.49365262906758</v>
      </c>
      <c r="H11" s="21">
        <f t="shared" si="6"/>
        <v>0</v>
      </c>
      <c r="I11" s="21">
        <f t="shared" si="6"/>
        <v>0</v>
      </c>
      <c r="J11" s="21">
        <f t="shared" si="6"/>
        <v>422.49365262906758</v>
      </c>
      <c r="K11" s="21">
        <f t="shared" si="6"/>
        <v>6361.959435331054</v>
      </c>
      <c r="L11" s="27">
        <f t="shared" si="6"/>
        <v>6764.889181791933</v>
      </c>
      <c r="M11" s="21">
        <f t="shared" si="6"/>
        <v>6346.2790349294501</v>
      </c>
      <c r="N11" s="21">
        <f t="shared" si="6"/>
        <v>422.49365262906758</v>
      </c>
      <c r="O11" s="21"/>
      <c r="P11" s="21">
        <f>SUM(P7:P10)</f>
        <v>5328.94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422.49365262906758</v>
      </c>
      <c r="P14" s="65">
        <f>+P11</f>
        <v>5328.94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1411.02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180.41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0.62999999999965439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248</v>
      </c>
      <c r="K20" s="76" t="s">
        <v>67</v>
      </c>
      <c r="L20" s="73">
        <f>+E24*(O10-F24)+E25*(O8-F25)+E26*(O9-F26)+E27*(O7-F27)</f>
        <v>201</v>
      </c>
      <c r="M20" s="288" t="s">
        <v>68</v>
      </c>
      <c r="N20" s="289"/>
      <c r="O20" s="290"/>
      <c r="P20" s="77">
        <f>+L20</f>
        <v>201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>
        <v>201</v>
      </c>
      <c r="M22" s="288" t="s">
        <v>74</v>
      </c>
      <c r="N22" s="289"/>
      <c r="O22" s="290"/>
      <c r="P22" s="77">
        <f>+J37+J20+J26+J31+J32</f>
        <v>248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4349.5004099999996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3287.88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>
        <f>201/14.75</f>
        <v>13.627118644067796</v>
      </c>
      <c r="F26" s="60">
        <v>0</v>
      </c>
      <c r="G26" s="61">
        <f t="shared" si="7"/>
        <v>0</v>
      </c>
      <c r="H26" s="71" t="s">
        <v>192</v>
      </c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13044.36/990</f>
        <v>13.176121212121213</v>
      </c>
      <c r="Q28" s="97">
        <f>+O8-P28</f>
        <v>2.5738787878787868</v>
      </c>
      <c r="S28" s="48">
        <f>+Q8*-1</f>
        <v>7.9234112444726179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91</v>
      </c>
      <c r="P29" s="100">
        <f>11892.04/990</f>
        <v>12.012161616161617</v>
      </c>
      <c r="Q29" s="97">
        <f>+O9-P29</f>
        <v>2.7378383838383833</v>
      </c>
      <c r="S29" s="48">
        <f>+Q9*-1</f>
        <v>9.4640955895752086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+'27-03-2025'!J34</f>
        <v>-135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-1.707106432443652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45745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-135</v>
      </c>
      <c r="K34" s="118" t="s">
        <v>56</v>
      </c>
      <c r="L34" s="125">
        <v>2258.5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790.27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895.2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620.75</v>
      </c>
      <c r="C36" s="136">
        <v>180.41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>
        <v>134.18</v>
      </c>
      <c r="M36" s="281" t="s">
        <v>112</v>
      </c>
      <c r="N36" s="281"/>
      <c r="O36" s="140">
        <f>+L33</f>
        <v>45745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2258.5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1411.02</v>
      </c>
      <c r="C38" s="153">
        <f>SUM(C35:C37)</f>
        <v>180.41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3287.8799999999997</v>
      </c>
      <c r="M38" s="161" t="s">
        <v>27</v>
      </c>
      <c r="N38" s="162" t="s">
        <v>116</v>
      </c>
      <c r="O38" s="163">
        <f>+L35</f>
        <v>895.2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1591.43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3153.7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94.263492063492066</v>
      </c>
      <c r="C42" s="184">
        <v>15.75</v>
      </c>
      <c r="D42" s="185">
        <v>1484.65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50.782372881355933</v>
      </c>
      <c r="C43" s="184">
        <v>14.75</v>
      </c>
      <c r="D43" s="185">
        <v>749.04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133.83764082173624</v>
      </c>
      <c r="C45" s="184">
        <v>15.09</v>
      </c>
      <c r="D45" s="185">
        <v>2019.61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143.61014686248333</v>
      </c>
      <c r="C46" s="184">
        <v>7.49</v>
      </c>
      <c r="D46" s="185">
        <v>1075.6400000000001</v>
      </c>
      <c r="E46" s="186"/>
      <c r="F46" s="186"/>
      <c r="G46" s="183"/>
      <c r="H46" s="262">
        <f>(L34+B38+P21+P22+P20+L36)-SUM(D42:D45)+(P18+P19)</f>
        <v>-0.5999999999994543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422.49365262906758</v>
      </c>
      <c r="C47" s="216"/>
      <c r="D47" s="217">
        <f>SUM(D42:D46)</f>
        <v>5328.9400000000005</v>
      </c>
      <c r="E47" s="217">
        <v>5328.9400000000005</v>
      </c>
      <c r="F47" s="186"/>
      <c r="G47" s="183"/>
      <c r="H47" s="263">
        <f>(C36+L35+L37)-D46</f>
        <v>-2.9999999999972715E-2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45719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62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+'02-03-2025'!K7</f>
        <v>2497.5591845335939</v>
      </c>
      <c r="C7" s="22">
        <f>L26+L27</f>
        <v>1406.98538518702</v>
      </c>
      <c r="D7" s="23"/>
      <c r="E7" s="23"/>
      <c r="F7" s="24">
        <f t="shared" ref="F7:F10" si="0">+B7+C7+D7+E7</f>
        <v>3904.5445697206142</v>
      </c>
      <c r="G7" s="25">
        <f>B46-H7</f>
        <v>201.13217623497997</v>
      </c>
      <c r="H7" s="22"/>
      <c r="I7" s="26"/>
      <c r="J7" s="21">
        <f t="shared" ref="J7:J10" si="1">+G7+H7+I7</f>
        <v>201.13217623497997</v>
      </c>
      <c r="K7" s="21">
        <f t="shared" ref="K7:K10" si="2">+F7-J7</f>
        <v>3703.4123934856343</v>
      </c>
      <c r="L7" s="27">
        <f>+'02-03-2025'!M7</f>
        <v>2497.5591845335939</v>
      </c>
      <c r="M7" s="28">
        <v>3703.4123934856343</v>
      </c>
      <c r="N7" s="24">
        <f t="shared" ref="N7:N10" si="3">+G7</f>
        <v>201.13217623497997</v>
      </c>
      <c r="O7" s="24">
        <f>+C46</f>
        <v>7.49</v>
      </c>
      <c r="P7" s="29">
        <f t="shared" ref="P7:P10" si="4">+N7*O7</f>
        <v>1506.48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+'02-03-2025'!K8</f>
        <v>1310.6247631080228</v>
      </c>
      <c r="C8" s="22">
        <f>L28</f>
        <v>0</v>
      </c>
      <c r="D8" s="33"/>
      <c r="E8" s="23"/>
      <c r="F8" s="24">
        <f t="shared" si="0"/>
        <v>1310.6247631080228</v>
      </c>
      <c r="G8" s="25">
        <f>+B42-H8</f>
        <v>114.38850284270373</v>
      </c>
      <c r="H8" s="22"/>
      <c r="I8" s="26"/>
      <c r="J8" s="21">
        <f t="shared" si="1"/>
        <v>114.38850284270373</v>
      </c>
      <c r="K8" s="21">
        <f t="shared" si="2"/>
        <v>1196.2362602653191</v>
      </c>
      <c r="L8" s="27">
        <f>+'02-03-2025'!M8</f>
        <v>1310</v>
      </c>
      <c r="M8" s="28">
        <v>1195</v>
      </c>
      <c r="N8" s="24">
        <f t="shared" si="3"/>
        <v>114.38850284270373</v>
      </c>
      <c r="O8" s="24">
        <f>+C42</f>
        <v>15.83</v>
      </c>
      <c r="P8" s="29">
        <f t="shared" si="4"/>
        <v>1810.77</v>
      </c>
      <c r="Q8" s="30">
        <f t="shared" si="5"/>
        <v>-1.2362602653190606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+'02-03-2025'!K9</f>
        <v>686.18346774193549</v>
      </c>
      <c r="C9" s="22">
        <f>L29</f>
        <v>500</v>
      </c>
      <c r="D9" s="33"/>
      <c r="E9" s="23"/>
      <c r="F9" s="24">
        <f t="shared" si="0"/>
        <v>1186.1834677419356</v>
      </c>
      <c r="G9" s="25">
        <f>+B43-H9</f>
        <v>189.16801075268816</v>
      </c>
      <c r="H9" s="22"/>
      <c r="I9" s="26"/>
      <c r="J9" s="21">
        <f t="shared" si="1"/>
        <v>189.16801075268816</v>
      </c>
      <c r="K9" s="21">
        <f t="shared" si="2"/>
        <v>997.01545698924747</v>
      </c>
      <c r="L9" s="27">
        <f>+'02-03-2025'!M9</f>
        <v>685</v>
      </c>
      <c r="M9" s="28">
        <v>995</v>
      </c>
      <c r="N9" s="24">
        <f t="shared" si="3"/>
        <v>189.16801075268816</v>
      </c>
      <c r="O9" s="24">
        <f>+C43</f>
        <v>14.88</v>
      </c>
      <c r="P9" s="29">
        <f t="shared" si="4"/>
        <v>2814.82</v>
      </c>
      <c r="Q9" s="30">
        <f t="shared" si="5"/>
        <v>-2.0154569892474683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+'02-03-2025'!K10</f>
        <v>1357.6354098360657</v>
      </c>
      <c r="C10" s="40">
        <f>L31</f>
        <v>0</v>
      </c>
      <c r="D10" s="41"/>
      <c r="E10" s="42"/>
      <c r="F10" s="24">
        <f t="shared" si="0"/>
        <v>1357.6354098360657</v>
      </c>
      <c r="G10" s="43">
        <f>+B45-H10</f>
        <v>63.452459016393441</v>
      </c>
      <c r="H10" s="40"/>
      <c r="I10" s="26"/>
      <c r="J10" s="44">
        <f t="shared" si="1"/>
        <v>63.452459016393441</v>
      </c>
      <c r="K10" s="44">
        <f t="shared" si="2"/>
        <v>1294.1829508196722</v>
      </c>
      <c r="L10" s="27">
        <f>+'02-03-2025'!M10</f>
        <v>1358</v>
      </c>
      <c r="M10" s="28">
        <v>1295</v>
      </c>
      <c r="N10" s="42">
        <f t="shared" si="3"/>
        <v>63.452459016393441</v>
      </c>
      <c r="O10" s="42">
        <f>+C45</f>
        <v>15.25</v>
      </c>
      <c r="P10" s="45">
        <f t="shared" si="4"/>
        <v>967.65</v>
      </c>
      <c r="Q10" s="30">
        <f t="shared" si="5"/>
        <v>0.81704918032778551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5852.0028252196171</v>
      </c>
      <c r="C11" s="21">
        <f t="shared" si="6"/>
        <v>1906.98538518702</v>
      </c>
      <c r="D11" s="21">
        <f t="shared" si="6"/>
        <v>0</v>
      </c>
      <c r="E11" s="21">
        <f t="shared" si="6"/>
        <v>0</v>
      </c>
      <c r="F11" s="21">
        <f t="shared" si="6"/>
        <v>7758.9882104066382</v>
      </c>
      <c r="G11" s="21">
        <f t="shared" si="6"/>
        <v>568.14114884676519</v>
      </c>
      <c r="H11" s="21">
        <f t="shared" si="6"/>
        <v>0</v>
      </c>
      <c r="I11" s="21">
        <f t="shared" si="6"/>
        <v>0</v>
      </c>
      <c r="J11" s="21">
        <f t="shared" si="6"/>
        <v>568.14114884676519</v>
      </c>
      <c r="K11" s="21">
        <f t="shared" si="6"/>
        <v>7190.8470615598735</v>
      </c>
      <c r="L11" s="27">
        <f t="shared" si="6"/>
        <v>5850.5591845335939</v>
      </c>
      <c r="M11" s="21">
        <f t="shared" si="6"/>
        <v>7188.4123934856343</v>
      </c>
      <c r="N11" s="21">
        <f t="shared" si="6"/>
        <v>568.14114884676519</v>
      </c>
      <c r="O11" s="21"/>
      <c r="P11" s="21">
        <f>SUM(P7:P10)</f>
        <v>7099.7199999999993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568.14114884676519</v>
      </c>
      <c r="P14" s="65">
        <f>+P11</f>
        <v>7099.7199999999993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139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1796.46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448.48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0.32343999999920925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209.98656000000003</v>
      </c>
      <c r="M20" s="288" t="s">
        <v>68</v>
      </c>
      <c r="N20" s="289"/>
      <c r="O20" s="290"/>
      <c r="P20" s="77">
        <f>+L20</f>
        <v>209.98656000000003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>
        <v>210</v>
      </c>
      <c r="M22" s="288" t="s">
        <v>74</v>
      </c>
      <c r="N22" s="289"/>
      <c r="O22" s="290"/>
      <c r="P22" s="77">
        <f>+J37+J20+J26+J31+J32</f>
        <v>210.67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1.3439999999974361E-2</v>
      </c>
      <c r="M23" s="294" t="s">
        <v>77</v>
      </c>
      <c r="N23" s="295"/>
      <c r="O23" s="83"/>
      <c r="P23" s="84">
        <f>P14-SUM(P15:P22)</f>
        <v>4429.8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>
        <v>14.112</v>
      </c>
      <c r="F26" s="60">
        <v>0</v>
      </c>
      <c r="G26" s="61">
        <f t="shared" si="7"/>
        <v>0</v>
      </c>
      <c r="H26" s="71" t="s">
        <v>141</v>
      </c>
      <c r="I26" s="74" t="s">
        <v>67</v>
      </c>
      <c r="J26" s="86"/>
      <c r="K26" s="91" t="s">
        <v>87</v>
      </c>
      <c r="L26" s="92">
        <f>+K42</f>
        <v>1406.98538518702</v>
      </c>
      <c r="M26" s="93" t="s">
        <v>142</v>
      </c>
      <c r="N26" s="94" t="s">
        <v>143</v>
      </c>
      <c r="O26" s="95" t="s">
        <v>144</v>
      </c>
      <c r="P26" s="96" t="str">
        <f>+I42&amp;"   "&amp;"kg"</f>
        <v>2840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1.2362602653190606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>
        <v>500</v>
      </c>
      <c r="M29" s="94"/>
      <c r="N29" s="94"/>
      <c r="O29" s="95" t="s">
        <v>89</v>
      </c>
      <c r="P29" s="100">
        <f>6258.25/500</f>
        <v>12.516500000000001</v>
      </c>
      <c r="Q29" s="97">
        <f>+O9-P29</f>
        <v>2.3635000000000002</v>
      </c>
      <c r="S29" s="48">
        <f>+Q9*-1</f>
        <v>2.0154569892474683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v>-150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>
        <v>40</v>
      </c>
      <c r="K31" s="106" t="s">
        <v>31</v>
      </c>
      <c r="L31" s="92"/>
      <c r="M31" s="94"/>
      <c r="N31" s="94"/>
      <c r="O31" s="95" t="s">
        <v>91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-0.81704918032778551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45719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-190</v>
      </c>
      <c r="K34" s="118" t="s">
        <v>56</v>
      </c>
      <c r="L34" s="125">
        <f>4349.8-L35</f>
        <v>3292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1371.2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1057.8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425.26</v>
      </c>
      <c r="C36" s="136">
        <v>448.48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+'[1]25'!J41</f>
        <v>104.16</v>
      </c>
      <c r="K36" s="128" t="s">
        <v>111</v>
      </c>
      <c r="L36" s="139">
        <v>80</v>
      </c>
      <c r="M36" s="281" t="s">
        <v>112</v>
      </c>
      <c r="N36" s="281"/>
      <c r="O36" s="140">
        <f>+L33</f>
        <v>45719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>
        <v>170.67</v>
      </c>
      <c r="K37" s="144" t="s">
        <v>113</v>
      </c>
      <c r="L37" s="145"/>
      <c r="M37" s="146" t="s">
        <v>56</v>
      </c>
      <c r="N37" s="147" t="s">
        <v>114</v>
      </c>
      <c r="O37" s="148">
        <f>+L34</f>
        <v>3292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1796.46</v>
      </c>
      <c r="C38" s="153">
        <f>SUM(C35:C37)</f>
        <v>448.48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4429.8</v>
      </c>
      <c r="M38" s="161" t="s">
        <v>27</v>
      </c>
      <c r="N38" s="162" t="s">
        <v>116</v>
      </c>
      <c r="O38" s="163">
        <f>+L35</f>
        <v>1057.8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2244.94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4349.8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0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114.38850284270373</v>
      </c>
      <c r="C42" s="184">
        <v>15.83</v>
      </c>
      <c r="D42" s="185">
        <v>1810.77</v>
      </c>
      <c r="E42" s="186"/>
      <c r="F42" s="186"/>
      <c r="G42" s="186"/>
      <c r="H42" s="187" t="s">
        <v>124</v>
      </c>
      <c r="I42" s="188" t="s">
        <v>140</v>
      </c>
      <c r="J42" s="189">
        <v>2.0185</v>
      </c>
      <c r="K42" s="190">
        <f>+I42/J42</f>
        <v>1406.98538518702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189.16801075268816</v>
      </c>
      <c r="C43" s="184">
        <v>14.88</v>
      </c>
      <c r="D43" s="185">
        <v>2814.82</v>
      </c>
      <c r="E43" s="186"/>
      <c r="F43" s="186"/>
      <c r="G43" s="186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6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63.452459016393441</v>
      </c>
      <c r="C45" s="184">
        <v>15.25</v>
      </c>
      <c r="D45" s="185">
        <v>967.65</v>
      </c>
      <c r="E45" s="186"/>
      <c r="F45" s="186"/>
      <c r="G45" s="186"/>
      <c r="H45" s="206" t="s">
        <v>130</v>
      </c>
      <c r="I45" s="207">
        <f>+K45/J45</f>
        <v>2.3254654465600595</v>
      </c>
      <c r="J45" s="208">
        <f>+J43</f>
        <v>3.7854000000000001</v>
      </c>
      <c r="K45" s="209">
        <f>+L45/I42</f>
        <v>8.8028169014084501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201.13217623497997</v>
      </c>
      <c r="C46" s="184">
        <v>7.49</v>
      </c>
      <c r="D46" s="185">
        <v>1506.48</v>
      </c>
      <c r="E46" s="186"/>
      <c r="F46" s="186"/>
      <c r="G46" s="212"/>
      <c r="H46" s="213">
        <f>(L34+B38+P21+P22+P20+L36)-SUM(D42:D45)+(P18+P19)</f>
        <v>-0.12343999999939115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568.1411488467653</v>
      </c>
      <c r="C47" s="216"/>
      <c r="D47" s="217">
        <f>SUM(D42:D46)</f>
        <v>7099.7199999999993</v>
      </c>
      <c r="E47" s="217">
        <v>7099.7199999999993</v>
      </c>
      <c r="F47" s="186"/>
      <c r="G47" s="218"/>
      <c r="H47" s="219">
        <f>(C36+L35+L37)-D46</f>
        <v>-0.20000000000004547</v>
      </c>
      <c r="I47" s="220" t="s">
        <v>88</v>
      </c>
      <c r="J47" s="221" t="s">
        <v>135</v>
      </c>
      <c r="K47" s="222">
        <v>2.0185</v>
      </c>
      <c r="L47" s="223">
        <f>+K45-K43</f>
        <v>1.3128169014084499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224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226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224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224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2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224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24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24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24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24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24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24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24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24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45746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89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+'29-03-2025'!K7</f>
        <v>2376.2790349294496</v>
      </c>
      <c r="C7" s="22">
        <f>L26+L27</f>
        <v>0</v>
      </c>
      <c r="D7" s="23"/>
      <c r="E7" s="23"/>
      <c r="F7" s="24">
        <f t="shared" ref="F7:F10" si="0">+B7+C7+D7+E7</f>
        <v>2376.2790349294496</v>
      </c>
      <c r="G7" s="25">
        <f>B46-H7</f>
        <v>125.17489986648864</v>
      </c>
      <c r="H7" s="22"/>
      <c r="I7" s="26"/>
      <c r="J7" s="21">
        <f t="shared" ref="J7:J10" si="1">+G7+H7+I7</f>
        <v>125.17489986648864</v>
      </c>
      <c r="K7" s="21">
        <f t="shared" ref="K7:K10" si="2">+F7-J7</f>
        <v>2251.1041350629612</v>
      </c>
      <c r="L7" s="27">
        <f>+'29-03-2025'!M7</f>
        <v>2376.2790349294496</v>
      </c>
      <c r="M7" s="28">
        <v>2251.1041350629612</v>
      </c>
      <c r="N7" s="24">
        <f t="shared" ref="N7:N10" si="3">+G7</f>
        <v>125.17489986648864</v>
      </c>
      <c r="O7" s="24">
        <f>+C46</f>
        <v>7.49</v>
      </c>
      <c r="P7" s="29">
        <f t="shared" ref="P7:P10" si="4">+N7*O7</f>
        <v>937.56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+'29-03-2025'!K8</f>
        <v>1372.9234112444726</v>
      </c>
      <c r="C8" s="22">
        <f>L28</f>
        <v>0</v>
      </c>
      <c r="D8" s="33"/>
      <c r="E8" s="23"/>
      <c r="F8" s="24">
        <f t="shared" si="0"/>
        <v>1372.9234112444726</v>
      </c>
      <c r="G8" s="25">
        <f>+B42-H8</f>
        <v>61.206349206349209</v>
      </c>
      <c r="H8" s="22">
        <f>+E8</f>
        <v>0</v>
      </c>
      <c r="I8" s="26"/>
      <c r="J8" s="21">
        <f t="shared" si="1"/>
        <v>61.206349206349209</v>
      </c>
      <c r="K8" s="21">
        <f t="shared" si="2"/>
        <v>1311.7170620381235</v>
      </c>
      <c r="L8" s="27">
        <f>+'29-03-2025'!M8</f>
        <v>1365</v>
      </c>
      <c r="M8" s="28">
        <v>1305</v>
      </c>
      <c r="N8" s="24">
        <f t="shared" si="3"/>
        <v>61.206349206349209</v>
      </c>
      <c r="O8" s="24">
        <f>+C42</f>
        <v>15.75</v>
      </c>
      <c r="P8" s="29">
        <f t="shared" si="4"/>
        <v>964</v>
      </c>
      <c r="Q8" s="30">
        <f t="shared" si="5"/>
        <v>-6.7170620381234585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+'29-03-2025'!K9</f>
        <v>984.46409558957521</v>
      </c>
      <c r="C9" s="22">
        <f>L29</f>
        <v>0</v>
      </c>
      <c r="D9" s="33"/>
      <c r="E9" s="23"/>
      <c r="F9" s="24">
        <f t="shared" si="0"/>
        <v>984.46409558957521</v>
      </c>
      <c r="G9" s="25">
        <f>+B43-H9</f>
        <v>67.679322033898302</v>
      </c>
      <c r="H9" s="22">
        <f>+E9</f>
        <v>0</v>
      </c>
      <c r="I9" s="26"/>
      <c r="J9" s="21">
        <f t="shared" si="1"/>
        <v>67.679322033898302</v>
      </c>
      <c r="K9" s="21">
        <f t="shared" si="2"/>
        <v>916.78477355567691</v>
      </c>
      <c r="L9" s="27">
        <f>+'29-03-2025'!M9</f>
        <v>975</v>
      </c>
      <c r="M9" s="28">
        <v>905</v>
      </c>
      <c r="N9" s="24">
        <f t="shared" si="3"/>
        <v>67.679322033898302</v>
      </c>
      <c r="O9" s="24">
        <f>+C43</f>
        <v>14.75</v>
      </c>
      <c r="P9" s="29">
        <f t="shared" si="4"/>
        <v>998.27</v>
      </c>
      <c r="Q9" s="30">
        <f t="shared" si="5"/>
        <v>-11.784773555676907</v>
      </c>
      <c r="R9" s="34"/>
      <c r="S9" s="32"/>
      <c r="T9" s="38">
        <v>160</v>
      </c>
      <c r="U9" s="32"/>
    </row>
    <row r="10" spans="1:24" s="31" customFormat="1" ht="15.75" thickBot="1" x14ac:dyDescent="0.3">
      <c r="A10" s="39" t="s">
        <v>195</v>
      </c>
      <c r="B10" s="21">
        <f>+'29-03-2025'!K10</f>
        <v>1628.2928935675563</v>
      </c>
      <c r="C10" s="40">
        <f>L31</f>
        <v>0</v>
      </c>
      <c r="D10" s="41"/>
      <c r="E10" s="42"/>
      <c r="F10" s="24">
        <f t="shared" si="0"/>
        <v>1628.2928935675563</v>
      </c>
      <c r="G10" s="43">
        <f>+B45-H10</f>
        <v>47.159045725646124</v>
      </c>
      <c r="H10" s="40">
        <f>+E10</f>
        <v>0</v>
      </c>
      <c r="I10" s="26"/>
      <c r="J10" s="44">
        <f t="shared" si="1"/>
        <v>47.159045725646124</v>
      </c>
      <c r="K10" s="44">
        <f t="shared" si="2"/>
        <v>1581.1338478419102</v>
      </c>
      <c r="L10" s="27">
        <f>+'29-03-2025'!M10</f>
        <v>1630</v>
      </c>
      <c r="M10" s="28">
        <v>1582</v>
      </c>
      <c r="N10" s="42">
        <f t="shared" si="3"/>
        <v>47.159045725646124</v>
      </c>
      <c r="O10" s="42">
        <f>+C45</f>
        <v>15.09</v>
      </c>
      <c r="P10" s="45">
        <f t="shared" si="4"/>
        <v>711.63</v>
      </c>
      <c r="Q10" s="30">
        <f t="shared" si="5"/>
        <v>0.86615215808978974</v>
      </c>
      <c r="R10" s="34"/>
      <c r="S10" s="32"/>
      <c r="T10" s="38">
        <v>190</v>
      </c>
      <c r="U10" s="32"/>
    </row>
    <row r="11" spans="1:24" s="31" customFormat="1" ht="15.75" thickBot="1" x14ac:dyDescent="0.3">
      <c r="A11" s="46" t="s">
        <v>32</v>
      </c>
      <c r="B11" s="21">
        <f t="shared" ref="B11:N11" si="6">SUM(B7:B10)</f>
        <v>6361.959435331054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6361.959435331054</v>
      </c>
      <c r="G11" s="21">
        <f t="shared" si="6"/>
        <v>301.21961683238226</v>
      </c>
      <c r="H11" s="21">
        <f t="shared" si="6"/>
        <v>0</v>
      </c>
      <c r="I11" s="21">
        <f t="shared" si="6"/>
        <v>0</v>
      </c>
      <c r="J11" s="21">
        <f t="shared" si="6"/>
        <v>301.21961683238226</v>
      </c>
      <c r="K11" s="21">
        <f t="shared" si="6"/>
        <v>6060.7398184986714</v>
      </c>
      <c r="L11" s="27">
        <f t="shared" si="6"/>
        <v>6346.2790349294501</v>
      </c>
      <c r="M11" s="21">
        <f t="shared" si="6"/>
        <v>6043.1041350629612</v>
      </c>
      <c r="N11" s="21">
        <f t="shared" si="6"/>
        <v>301.21961683238226</v>
      </c>
      <c r="O11" s="21"/>
      <c r="P11" s="21">
        <f>SUM(P7:P10)</f>
        <v>3611.46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301.21961683238226</v>
      </c>
      <c r="P14" s="65">
        <f>+P11</f>
        <v>3611.46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570.79999999999995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185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5.999999999994543E-2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2855.6000000000004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13044.36/990</f>
        <v>13.176121212121213</v>
      </c>
      <c r="Q28" s="97">
        <f>+O8-P28</f>
        <v>2.5738787878787868</v>
      </c>
      <c r="S28" s="48">
        <f>+Q8*-1</f>
        <v>6.7170620381234585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91</v>
      </c>
      <c r="P29" s="100">
        <f>11892.04/990</f>
        <v>12.012161616161617</v>
      </c>
      <c r="Q29" s="97">
        <f>+O9-P29</f>
        <v>2.7378383838383833</v>
      </c>
      <c r="S29" s="48">
        <f>+Q9*-1</f>
        <v>11.784773555676907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+'27-03-2025'!J34</f>
        <v>-135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1.7919799999999988</v>
      </c>
      <c r="R31" s="3" t="s">
        <v>97</v>
      </c>
      <c r="S31" s="48">
        <f t="shared" ref="S31" si="8">+Q10*-1</f>
        <v>-0.86615215808978974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45746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-135</v>
      </c>
      <c r="K34" s="118" t="s">
        <v>56</v>
      </c>
      <c r="L34" s="125">
        <v>2103.1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537</v>
      </c>
      <c r="C35" s="127"/>
      <c r="D35" s="128" t="s">
        <v>108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752.5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33.799999999999997</v>
      </c>
      <c r="C36" s="136">
        <v>185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/>
      <c r="M36" s="281" t="s">
        <v>112</v>
      </c>
      <c r="N36" s="281"/>
      <c r="O36" s="140">
        <f>+L33</f>
        <v>45746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2103.1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570.79999999999995</v>
      </c>
      <c r="C38" s="153">
        <f>SUM(C35:C37)</f>
        <v>185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2855.6</v>
      </c>
      <c r="M38" s="161" t="s">
        <v>27</v>
      </c>
      <c r="N38" s="162" t="s">
        <v>116</v>
      </c>
      <c r="O38" s="163">
        <f>+L35</f>
        <v>752.5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755.8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2855.6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61.206349206349209</v>
      </c>
      <c r="C42" s="184">
        <v>15.75</v>
      </c>
      <c r="D42" s="185">
        <v>964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67.679322033898302</v>
      </c>
      <c r="C43" s="184">
        <v>14.75</v>
      </c>
      <c r="D43" s="185">
        <v>998.27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47.159045725646124</v>
      </c>
      <c r="C45" s="184">
        <v>15.09</v>
      </c>
      <c r="D45" s="185">
        <v>711.63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125.17489986648864</v>
      </c>
      <c r="C46" s="184">
        <v>7.49</v>
      </c>
      <c r="D46" s="185">
        <v>937.56</v>
      </c>
      <c r="E46" s="186"/>
      <c r="F46" s="186"/>
      <c r="G46" s="183"/>
      <c r="H46" s="262">
        <f>(L34+B38+P21+P22+P20+L36)-SUM(D42:D45)+(P18+P19)</f>
        <v>-4.5474735088646412E-13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301.21961683238231</v>
      </c>
      <c r="C47" s="216"/>
      <c r="D47" s="217">
        <f>SUM(D42:D46)</f>
        <v>3611.46</v>
      </c>
      <c r="E47" s="217">
        <v>3611.46</v>
      </c>
      <c r="F47" s="186"/>
      <c r="G47" s="183"/>
      <c r="H47" s="263">
        <f>(C36+L35+L37)-D46</f>
        <v>-5.999999999994543E-2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45747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90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+'30-03-2025'!K7</f>
        <v>2251.1041350629612</v>
      </c>
      <c r="C7" s="22">
        <f>L26+L27</f>
        <v>0</v>
      </c>
      <c r="D7" s="23"/>
      <c r="E7" s="23"/>
      <c r="F7" s="24">
        <f t="shared" ref="F7:F10" si="0">+B7+C7+D7+E7</f>
        <v>2251.1041350629612</v>
      </c>
      <c r="G7" s="25">
        <f>B46-H7</f>
        <v>187.74766355140187</v>
      </c>
      <c r="H7" s="22"/>
      <c r="I7" s="26"/>
      <c r="J7" s="21">
        <f t="shared" ref="J7:J10" si="1">+G7+H7+I7</f>
        <v>187.74766355140187</v>
      </c>
      <c r="K7" s="21">
        <f t="shared" ref="K7:K10" si="2">+F7-J7</f>
        <v>2063.3564715115594</v>
      </c>
      <c r="L7" s="27">
        <f>+'30-03-2025'!M7</f>
        <v>2251.1041350629612</v>
      </c>
      <c r="M7" s="28">
        <v>2063.3564715115594</v>
      </c>
      <c r="N7" s="24">
        <f t="shared" ref="N7:N10" si="3">+G7</f>
        <v>187.74766355140187</v>
      </c>
      <c r="O7" s="24">
        <f>+C46</f>
        <v>7.49</v>
      </c>
      <c r="P7" s="29">
        <f t="shared" ref="P7:P10" si="4">+N7*O7</f>
        <v>1406.23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+'30-03-2025'!K8</f>
        <v>1311.7170620381235</v>
      </c>
      <c r="C8" s="22">
        <f>L28</f>
        <v>0</v>
      </c>
      <c r="D8" s="33"/>
      <c r="E8" s="23"/>
      <c r="F8" s="24">
        <f t="shared" si="0"/>
        <v>1311.7170620381235</v>
      </c>
      <c r="G8" s="25">
        <f>+B42-H8</f>
        <v>105.37269841269841</v>
      </c>
      <c r="H8" s="22">
        <f>+E8</f>
        <v>0</v>
      </c>
      <c r="I8" s="26"/>
      <c r="J8" s="21">
        <f t="shared" si="1"/>
        <v>105.37269841269841</v>
      </c>
      <c r="K8" s="21">
        <f t="shared" si="2"/>
        <v>1206.3443636254251</v>
      </c>
      <c r="L8" s="27">
        <f>+'30-03-2025'!M8</f>
        <v>1305</v>
      </c>
      <c r="M8" s="28">
        <v>1198</v>
      </c>
      <c r="N8" s="24">
        <f t="shared" si="3"/>
        <v>105.37269841269841</v>
      </c>
      <c r="O8" s="24">
        <f>+C42</f>
        <v>15.75</v>
      </c>
      <c r="P8" s="29">
        <f t="shared" si="4"/>
        <v>1659.62</v>
      </c>
      <c r="Q8" s="30">
        <f t="shared" si="5"/>
        <v>-8.3443636254251032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+'30-03-2025'!K9</f>
        <v>916.78477355567691</v>
      </c>
      <c r="C9" s="22">
        <f>L29</f>
        <v>0</v>
      </c>
      <c r="D9" s="33"/>
      <c r="E9" s="23"/>
      <c r="F9" s="24">
        <f t="shared" si="0"/>
        <v>916.78477355567691</v>
      </c>
      <c r="G9" s="25">
        <f>+B43-H9</f>
        <v>130.70335954253036</v>
      </c>
      <c r="H9" s="22">
        <f>+E9</f>
        <v>0</v>
      </c>
      <c r="I9" s="26"/>
      <c r="J9" s="21">
        <f t="shared" si="1"/>
        <v>130.70335954253036</v>
      </c>
      <c r="K9" s="21">
        <f t="shared" si="2"/>
        <v>786.08141401314651</v>
      </c>
      <c r="L9" s="27">
        <f>+'30-03-2025'!M9</f>
        <v>905</v>
      </c>
      <c r="M9" s="28">
        <v>775</v>
      </c>
      <c r="N9" s="24">
        <f t="shared" si="3"/>
        <v>130.70335954253036</v>
      </c>
      <c r="O9" s="24">
        <f>+C43</f>
        <v>13.99</v>
      </c>
      <c r="P9" s="29">
        <f t="shared" si="4"/>
        <v>1828.5399999999997</v>
      </c>
      <c r="Q9" s="30">
        <f t="shared" si="5"/>
        <v>-11.081414013146514</v>
      </c>
      <c r="R9" s="34"/>
      <c r="S9" s="32"/>
      <c r="T9" s="38">
        <v>160</v>
      </c>
      <c r="U9" s="32"/>
    </row>
    <row r="10" spans="1:24" s="31" customFormat="1" ht="15.75" thickBot="1" x14ac:dyDescent="0.3">
      <c r="A10" s="39" t="s">
        <v>195</v>
      </c>
      <c r="B10" s="21">
        <f>+'30-03-2025'!K10</f>
        <v>1581.1338478419102</v>
      </c>
      <c r="C10" s="40">
        <f>L31</f>
        <v>0</v>
      </c>
      <c r="D10" s="41"/>
      <c r="E10" s="42"/>
      <c r="F10" s="24">
        <f t="shared" si="0"/>
        <v>1581.1338478419102</v>
      </c>
      <c r="G10" s="43">
        <f>+B45-H10</f>
        <v>112.49685094471658</v>
      </c>
      <c r="H10" s="40">
        <f>+E10</f>
        <v>0</v>
      </c>
      <c r="I10" s="26"/>
      <c r="J10" s="44">
        <f t="shared" si="1"/>
        <v>112.49685094471658</v>
      </c>
      <c r="K10" s="44">
        <f t="shared" si="2"/>
        <v>1468.6369968971935</v>
      </c>
      <c r="L10" s="27">
        <f>+'30-03-2025'!M10</f>
        <v>1582</v>
      </c>
      <c r="M10" s="28">
        <v>1470</v>
      </c>
      <c r="N10" s="42">
        <f t="shared" si="3"/>
        <v>112.49685094471658</v>
      </c>
      <c r="O10" s="42">
        <f>+C45</f>
        <v>14.29</v>
      </c>
      <c r="P10" s="45">
        <f t="shared" si="4"/>
        <v>1607.58</v>
      </c>
      <c r="Q10" s="30">
        <f t="shared" si="5"/>
        <v>1.3630031028064877</v>
      </c>
      <c r="R10" s="34"/>
      <c r="S10" s="32"/>
      <c r="T10" s="38">
        <v>190</v>
      </c>
      <c r="U10" s="32"/>
    </row>
    <row r="11" spans="1:24" s="31" customFormat="1" ht="15.75" thickBot="1" x14ac:dyDescent="0.3">
      <c r="A11" s="46" t="s">
        <v>32</v>
      </c>
      <c r="B11" s="21">
        <f t="shared" ref="B11:N11" si="6">SUM(B7:B10)</f>
        <v>6060.7398184986714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6060.7398184986714</v>
      </c>
      <c r="G11" s="21">
        <f t="shared" si="6"/>
        <v>536.32057245134729</v>
      </c>
      <c r="H11" s="21">
        <f t="shared" si="6"/>
        <v>0</v>
      </c>
      <c r="I11" s="21">
        <f t="shared" si="6"/>
        <v>0</v>
      </c>
      <c r="J11" s="21">
        <f t="shared" si="6"/>
        <v>536.32057245134729</v>
      </c>
      <c r="K11" s="21">
        <f t="shared" si="6"/>
        <v>5524.4192460473241</v>
      </c>
      <c r="L11" s="27">
        <f t="shared" si="6"/>
        <v>6043.1041350629612</v>
      </c>
      <c r="M11" s="21">
        <f t="shared" si="6"/>
        <v>5506.356471511559</v>
      </c>
      <c r="N11" s="21">
        <f t="shared" si="6"/>
        <v>536.32057245134729</v>
      </c>
      <c r="O11" s="21"/>
      <c r="P11" s="21">
        <f>SUM(P7:P10)</f>
        <v>6501.9699999999993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536.32057245134729</v>
      </c>
      <c r="P14" s="65">
        <f>+P11</f>
        <v>6501.9699999999993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1151.6100000000001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366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0.12099999999918509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360"/>
      <c r="N18" s="360"/>
      <c r="O18" s="361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f>7.252*O8</f>
        <v>114.21899999999999</v>
      </c>
      <c r="K20" s="76" t="s">
        <v>67</v>
      </c>
      <c r="L20" s="73">
        <f>+E24*(O10-F24)+E25*(O8-F25)+E26*(O9-F26)+E27*(O7-F27)</f>
        <v>214.6</v>
      </c>
      <c r="M20" s="288" t="s">
        <v>68</v>
      </c>
      <c r="N20" s="289"/>
      <c r="O20" s="290"/>
      <c r="P20" s="77">
        <f>+L20</f>
        <v>214.6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114.21899999999999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4215.7194099999997</v>
      </c>
      <c r="K23" s="81" t="s">
        <v>76</v>
      </c>
      <c r="L23" s="82">
        <f>+L19-L20+L22+L21</f>
        <v>-214.6</v>
      </c>
      <c r="M23" s="294" t="s">
        <v>77</v>
      </c>
      <c r="N23" s="295"/>
      <c r="O23" s="83"/>
      <c r="P23" s="84">
        <f>P14-SUM(P15:P22)</f>
        <v>4655.42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>
        <f>214.6/14.29</f>
        <v>15.017494751574528</v>
      </c>
      <c r="F24" s="60">
        <v>0</v>
      </c>
      <c r="G24" s="61">
        <f t="shared" si="7"/>
        <v>0</v>
      </c>
      <c r="H24" s="71" t="s">
        <v>194</v>
      </c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13044.36/990</f>
        <v>13.176121212121213</v>
      </c>
      <c r="Q28" s="97">
        <f>+O8-P28</f>
        <v>2.5738787878787868</v>
      </c>
      <c r="S28" s="48">
        <f>+Q8*-1</f>
        <v>8.3443636254251032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91</v>
      </c>
      <c r="P29" s="100">
        <f>11892.04/990</f>
        <v>12.012161616161617</v>
      </c>
      <c r="Q29" s="97">
        <f>+O9-P29</f>
        <v>1.9778383838383835</v>
      </c>
      <c r="S29" s="48">
        <f>+Q9*-1</f>
        <v>11.081414013146514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+'27-03-2025'!J34</f>
        <v>-135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89</v>
      </c>
      <c r="P31" s="100">
        <f>6649.01/500</f>
        <v>13.298020000000001</v>
      </c>
      <c r="Q31" s="97">
        <f>+O10-P31</f>
        <v>0.99197999999999809</v>
      </c>
      <c r="R31" s="3" t="s">
        <v>97</v>
      </c>
      <c r="S31" s="48">
        <f t="shared" ref="S31" si="8">+Q10*-1</f>
        <v>-1.3630031028064877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45747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-135</v>
      </c>
      <c r="K34" s="118" t="s">
        <v>56</v>
      </c>
      <c r="L34" s="125">
        <v>3496.8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860.61</v>
      </c>
      <c r="C35" s="127"/>
      <c r="D35" s="128" t="s">
        <v>108</v>
      </c>
      <c r="E35" s="129"/>
      <c r="F35" s="130">
        <f>+C43</f>
        <v>13.99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1040.2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291</v>
      </c>
      <c r="C36" s="136">
        <v>366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4">
        <f>118.42+0</f>
        <v>118.42</v>
      </c>
      <c r="M36" s="281" t="s">
        <v>112</v>
      </c>
      <c r="N36" s="281"/>
      <c r="O36" s="140">
        <f>+L33</f>
        <v>45747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14.29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265"/>
      <c r="M37" s="146" t="s">
        <v>56</v>
      </c>
      <c r="N37" s="147" t="s">
        <v>114</v>
      </c>
      <c r="O37" s="148">
        <f>+L34</f>
        <v>3496.8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1151.6100000000001</v>
      </c>
      <c r="C38" s="153">
        <f>SUM(C35:C37)</f>
        <v>366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4655.42</v>
      </c>
      <c r="M38" s="161" t="s">
        <v>27</v>
      </c>
      <c r="N38" s="162" t="s">
        <v>116</v>
      </c>
      <c r="O38" s="163">
        <f>+L35</f>
        <v>1040.2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1517.6100000000001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4537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105.37269841269841</v>
      </c>
      <c r="C42" s="184">
        <v>15.75</v>
      </c>
      <c r="D42" s="185">
        <v>1659.62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130.70335954253036</v>
      </c>
      <c r="C43" s="184">
        <v>13.99</v>
      </c>
      <c r="D43" s="185">
        <v>1828.54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112.49685094471658</v>
      </c>
      <c r="C45" s="184">
        <v>14.29</v>
      </c>
      <c r="D45" s="185">
        <v>1607.58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187.74766355140187</v>
      </c>
      <c r="C46" s="184">
        <v>7.49</v>
      </c>
      <c r="D46" s="185">
        <v>1406.23</v>
      </c>
      <c r="E46" s="186"/>
      <c r="F46" s="186"/>
      <c r="G46" s="183"/>
      <c r="H46" s="262">
        <f>(L34+B38+P21+P22+P20+L36)-SUM(D42:D45)+(P18+P19)</f>
        <v>-9.0999999999439751E-2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536.32057245134718</v>
      </c>
      <c r="C47" s="216"/>
      <c r="D47" s="217">
        <f>SUM(D42:D46)</f>
        <v>6501.9699999999993</v>
      </c>
      <c r="E47" s="217">
        <v>6501.9699999999993</v>
      </c>
      <c r="F47" s="186"/>
      <c r="G47" s="183"/>
      <c r="H47" s="263">
        <f>(C36+L35+L37)-D46</f>
        <v>-2.9999999999972715E-2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45720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63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+'03-03-2025'!K7</f>
        <v>3703.4123934856343</v>
      </c>
      <c r="C7" s="22">
        <f>L26+L27</f>
        <v>0</v>
      </c>
      <c r="D7" s="23"/>
      <c r="E7" s="23"/>
      <c r="F7" s="24">
        <f t="shared" ref="F7:F10" si="0">+B7+C7+D7+E7</f>
        <v>3703.4123934856343</v>
      </c>
      <c r="G7" s="25">
        <f>B46-H7</f>
        <v>250.49666221628837</v>
      </c>
      <c r="H7" s="22"/>
      <c r="I7" s="26"/>
      <c r="J7" s="21">
        <f t="shared" ref="J7:J10" si="1">+G7+H7+I7</f>
        <v>250.49666221628837</v>
      </c>
      <c r="K7" s="21">
        <f t="shared" ref="K7:K10" si="2">+F7-J7</f>
        <v>3452.915731269346</v>
      </c>
      <c r="L7" s="27">
        <f>+'03-03-2025'!M7</f>
        <v>3703.4123934856343</v>
      </c>
      <c r="M7" s="28">
        <v>3452.915731269346</v>
      </c>
      <c r="N7" s="24">
        <f t="shared" ref="N7:N10" si="3">+G7</f>
        <v>250.49666221628837</v>
      </c>
      <c r="O7" s="24">
        <f>+C46</f>
        <v>7.49</v>
      </c>
      <c r="P7" s="29">
        <f t="shared" ref="P7:P10" si="4">+N7*O7</f>
        <v>1876.22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+'03-03-2025'!K8</f>
        <v>1196.2362602653191</v>
      </c>
      <c r="C8" s="22">
        <f>L28</f>
        <v>0</v>
      </c>
      <c r="D8" s="33"/>
      <c r="E8" s="23"/>
      <c r="F8" s="24">
        <f t="shared" si="0"/>
        <v>1196.2362602653191</v>
      </c>
      <c r="G8" s="25">
        <f>+B42-H8</f>
        <v>109.00758054327227</v>
      </c>
      <c r="H8" s="22"/>
      <c r="I8" s="26"/>
      <c r="J8" s="21">
        <f t="shared" si="1"/>
        <v>109.00758054327227</v>
      </c>
      <c r="K8" s="21">
        <f t="shared" si="2"/>
        <v>1087.2286797220468</v>
      </c>
      <c r="L8" s="27">
        <f>+'03-03-2025'!M8</f>
        <v>1195</v>
      </c>
      <c r="M8" s="28">
        <v>1085</v>
      </c>
      <c r="N8" s="24">
        <f t="shared" si="3"/>
        <v>109.00758054327227</v>
      </c>
      <c r="O8" s="24">
        <f>+C42</f>
        <v>15.83</v>
      </c>
      <c r="P8" s="29">
        <f t="shared" si="4"/>
        <v>1725.59</v>
      </c>
      <c r="Q8" s="30">
        <f t="shared" si="5"/>
        <v>-2.2286797220467633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+'03-03-2025'!K9</f>
        <v>997.01545698924747</v>
      </c>
      <c r="C9" s="22">
        <f>L29</f>
        <v>0</v>
      </c>
      <c r="D9" s="33"/>
      <c r="E9" s="23"/>
      <c r="F9" s="24">
        <f t="shared" si="0"/>
        <v>997.01545698924747</v>
      </c>
      <c r="G9" s="25">
        <f>+B43-H9</f>
        <v>110.19892473118279</v>
      </c>
      <c r="H9" s="22"/>
      <c r="I9" s="26"/>
      <c r="J9" s="21">
        <f t="shared" si="1"/>
        <v>110.19892473118279</v>
      </c>
      <c r="K9" s="21">
        <f t="shared" si="2"/>
        <v>886.81653225806463</v>
      </c>
      <c r="L9" s="27">
        <f>+'03-03-2025'!M9</f>
        <v>995</v>
      </c>
      <c r="M9" s="28">
        <v>885</v>
      </c>
      <c r="N9" s="24">
        <f t="shared" si="3"/>
        <v>110.19892473118279</v>
      </c>
      <c r="O9" s="24">
        <f>+C43</f>
        <v>14.88</v>
      </c>
      <c r="P9" s="29">
        <f t="shared" si="4"/>
        <v>1639.76</v>
      </c>
      <c r="Q9" s="30">
        <f t="shared" si="5"/>
        <v>-1.8165322580646261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+'03-03-2025'!K10</f>
        <v>1294.1829508196722</v>
      </c>
      <c r="C10" s="40">
        <f>L31</f>
        <v>0</v>
      </c>
      <c r="D10" s="41"/>
      <c r="E10" s="42"/>
      <c r="F10" s="24">
        <f t="shared" si="0"/>
        <v>1294.1829508196722</v>
      </c>
      <c r="G10" s="43">
        <f>+B45-H10</f>
        <v>93.732459016393449</v>
      </c>
      <c r="H10" s="40"/>
      <c r="I10" s="26"/>
      <c r="J10" s="44">
        <f t="shared" si="1"/>
        <v>93.732459016393449</v>
      </c>
      <c r="K10" s="44">
        <f t="shared" si="2"/>
        <v>1200.4504918032787</v>
      </c>
      <c r="L10" s="27">
        <f>+'03-03-2025'!M10</f>
        <v>1295</v>
      </c>
      <c r="M10" s="28">
        <v>1200</v>
      </c>
      <c r="N10" s="42">
        <f t="shared" si="3"/>
        <v>93.732459016393449</v>
      </c>
      <c r="O10" s="42">
        <f>+C45</f>
        <v>15.25</v>
      </c>
      <c r="P10" s="45">
        <f t="shared" si="4"/>
        <v>1429.42</v>
      </c>
      <c r="Q10" s="30">
        <f t="shared" si="5"/>
        <v>-0.45049180327873728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7190.8470615598735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7190.8470615598735</v>
      </c>
      <c r="G11" s="21">
        <f t="shared" si="6"/>
        <v>563.43562650713682</v>
      </c>
      <c r="H11" s="21">
        <f t="shared" si="6"/>
        <v>0</v>
      </c>
      <c r="I11" s="21">
        <f t="shared" si="6"/>
        <v>0</v>
      </c>
      <c r="J11" s="21">
        <f t="shared" si="6"/>
        <v>563.43562650713682</v>
      </c>
      <c r="K11" s="21">
        <f t="shared" si="6"/>
        <v>6627.4114350527361</v>
      </c>
      <c r="L11" s="27">
        <f t="shared" si="6"/>
        <v>7188.4123934856343</v>
      </c>
      <c r="M11" s="21">
        <f t="shared" si="6"/>
        <v>6622.915731269346</v>
      </c>
      <c r="N11" s="21">
        <f t="shared" si="6"/>
        <v>563.43562650713682</v>
      </c>
      <c r="O11" s="21"/>
      <c r="P11" s="21">
        <f>SUM(P7:P10)</f>
        <v>6670.99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563.43562650713682</v>
      </c>
      <c r="P14" s="65">
        <f>+P11</f>
        <v>6670.99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1571.8200000000002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655.99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3.0711999999994077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113.04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7.8688000000000002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113.04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>
        <v>39.344000000000001</v>
      </c>
      <c r="F23" s="60">
        <v>0.2</v>
      </c>
      <c r="G23" s="61">
        <f t="shared" si="7"/>
        <v>7.8688000000000002</v>
      </c>
      <c r="H23" s="71" t="s">
        <v>145</v>
      </c>
      <c r="I23" s="79" t="s">
        <v>76</v>
      </c>
      <c r="J23" s="80">
        <f>+J19+J20-J22</f>
        <v>4214.5404099999996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4319.2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2.2286797220467633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89</v>
      </c>
      <c r="P29" s="100">
        <f>6258.25/500</f>
        <v>12.516500000000001</v>
      </c>
      <c r="Q29" s="97">
        <f>+O9-P29</f>
        <v>2.3635000000000002</v>
      </c>
      <c r="S29" s="48">
        <f>+Q9*-1</f>
        <v>1.8165322580646261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+'03-03-2025'!J34</f>
        <v>-190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7.8688000000000002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91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0.45049180327873728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45720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-190</v>
      </c>
      <c r="K34" s="118" t="s">
        <v>56</v>
      </c>
      <c r="L34" s="125">
        <v>3101.9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1216.1500000000001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1217.3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355.67</v>
      </c>
      <c r="C36" s="136">
        <v>655.99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9"/>
      <c r="M36" s="281" t="s">
        <v>112</v>
      </c>
      <c r="N36" s="281"/>
      <c r="O36" s="140">
        <f>+L33</f>
        <v>45720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3101.9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1571.8200000000002</v>
      </c>
      <c r="C38" s="153">
        <f>SUM(C35:C37)</f>
        <v>655.99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4319.2</v>
      </c>
      <c r="M38" s="161" t="s">
        <v>27</v>
      </c>
      <c r="N38" s="162" t="s">
        <v>116</v>
      </c>
      <c r="O38" s="163">
        <f>+L35</f>
        <v>1217.3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2227.8100000000004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4319.2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0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109.00758054327227</v>
      </c>
      <c r="C42" s="184">
        <v>15.83</v>
      </c>
      <c r="D42" s="185">
        <v>1725.59</v>
      </c>
      <c r="E42" s="186"/>
      <c r="F42" s="186"/>
      <c r="G42" s="186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110.19892473118279</v>
      </c>
      <c r="C43" s="184">
        <v>14.88</v>
      </c>
      <c r="D43" s="185">
        <v>1639.76</v>
      </c>
      <c r="E43" s="186"/>
      <c r="F43" s="186"/>
      <c r="G43" s="186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6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93.732459016393449</v>
      </c>
      <c r="C45" s="184">
        <v>15.25</v>
      </c>
      <c r="D45" s="185">
        <v>1429.42</v>
      </c>
      <c r="E45" s="186"/>
      <c r="F45" s="186"/>
      <c r="G45" s="186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250.49666221628837</v>
      </c>
      <c r="C46" s="184">
        <v>7.49</v>
      </c>
      <c r="D46" s="185">
        <v>1876.22</v>
      </c>
      <c r="E46" s="186"/>
      <c r="F46" s="186"/>
      <c r="G46" s="212"/>
      <c r="H46" s="213">
        <f>(L34+B38+P21+P22+P20+L36)-SUM(D42:D45)+(P18+P19)</f>
        <v>-0.14120000000002619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563.43562650713693</v>
      </c>
      <c r="C47" s="216"/>
      <c r="D47" s="217">
        <f>SUM(D42:D46)</f>
        <v>6670.9900000000007</v>
      </c>
      <c r="E47" s="217">
        <v>6670.9900000000007</v>
      </c>
      <c r="F47" s="186"/>
      <c r="G47" s="218"/>
      <c r="H47" s="219">
        <f>(C36+L35+L37)-D46</f>
        <v>-2.9300000000000637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224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226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224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224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2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224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24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24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24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24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24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24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24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24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45721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64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+'04-03-2025'!K7</f>
        <v>3452.915731269346</v>
      </c>
      <c r="C7" s="22">
        <f>L26+L27</f>
        <v>0</v>
      </c>
      <c r="D7" s="23"/>
      <c r="E7" s="23"/>
      <c r="F7" s="24">
        <f t="shared" ref="F7:F10" si="0">+B7+C7+D7+E7</f>
        <v>3452.915731269346</v>
      </c>
      <c r="G7" s="25">
        <f>B46-H7</f>
        <v>283.94392523364485</v>
      </c>
      <c r="H7" s="22"/>
      <c r="I7" s="26"/>
      <c r="J7" s="21">
        <f t="shared" ref="J7:J10" si="1">+G7+H7+I7</f>
        <v>283.94392523364485</v>
      </c>
      <c r="K7" s="21">
        <f t="shared" ref="K7:K10" si="2">+F7-J7</f>
        <v>3168.9718060357013</v>
      </c>
      <c r="L7" s="27">
        <f>+'04-03-2025'!M7</f>
        <v>3452.915731269346</v>
      </c>
      <c r="M7" s="28">
        <v>3168.9718060357013</v>
      </c>
      <c r="N7" s="24">
        <f t="shared" ref="N7:N10" si="3">+G7</f>
        <v>283.94392523364485</v>
      </c>
      <c r="O7" s="24">
        <f>+C46</f>
        <v>7.49</v>
      </c>
      <c r="P7" s="29">
        <f t="shared" ref="P7:P10" si="4">+N7*O7</f>
        <v>2126.7399999999998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+'04-03-2025'!K8</f>
        <v>1087.2286797220468</v>
      </c>
      <c r="C8" s="22">
        <f>L28</f>
        <v>0</v>
      </c>
      <c r="D8" s="33"/>
      <c r="E8" s="23"/>
      <c r="F8" s="24">
        <f t="shared" si="0"/>
        <v>1087.2286797220468</v>
      </c>
      <c r="G8" s="25">
        <f>+B42-H8</f>
        <v>79.445988629185095</v>
      </c>
      <c r="H8" s="22"/>
      <c r="I8" s="26"/>
      <c r="J8" s="21">
        <f t="shared" si="1"/>
        <v>79.445988629185095</v>
      </c>
      <c r="K8" s="21">
        <f t="shared" si="2"/>
        <v>1007.7826910928617</v>
      </c>
      <c r="L8" s="27">
        <f>+'04-03-2025'!M8</f>
        <v>1085</v>
      </c>
      <c r="M8" s="28">
        <v>1000</v>
      </c>
      <c r="N8" s="24">
        <f t="shared" si="3"/>
        <v>79.445988629185095</v>
      </c>
      <c r="O8" s="24">
        <f>+C42</f>
        <v>15.83</v>
      </c>
      <c r="P8" s="29">
        <f t="shared" si="4"/>
        <v>1257.6300000000001</v>
      </c>
      <c r="Q8" s="30">
        <f t="shared" si="5"/>
        <v>-7.7826910928616826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+'04-03-2025'!K9</f>
        <v>886.81653225806463</v>
      </c>
      <c r="C9" s="22">
        <f>L29</f>
        <v>0</v>
      </c>
      <c r="D9" s="33"/>
      <c r="E9" s="23"/>
      <c r="F9" s="24">
        <f t="shared" si="0"/>
        <v>886.81653225806463</v>
      </c>
      <c r="G9" s="25">
        <f>+B43-H9</f>
        <v>177.85013440860214</v>
      </c>
      <c r="H9" s="22"/>
      <c r="I9" s="26"/>
      <c r="J9" s="21">
        <f t="shared" si="1"/>
        <v>177.85013440860214</v>
      </c>
      <c r="K9" s="21">
        <f t="shared" si="2"/>
        <v>708.96639784946251</v>
      </c>
      <c r="L9" s="27">
        <f>+'04-03-2025'!M9</f>
        <v>885</v>
      </c>
      <c r="M9" s="28">
        <v>700</v>
      </c>
      <c r="N9" s="24">
        <f t="shared" si="3"/>
        <v>177.85013440860214</v>
      </c>
      <c r="O9" s="24">
        <f>+C43</f>
        <v>14.88</v>
      </c>
      <c r="P9" s="29">
        <f t="shared" si="4"/>
        <v>2646.41</v>
      </c>
      <c r="Q9" s="30">
        <f t="shared" si="5"/>
        <v>-8.9663978494625098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+'04-03-2025'!K10</f>
        <v>1200.4504918032787</v>
      </c>
      <c r="C10" s="40">
        <f>L31</f>
        <v>0</v>
      </c>
      <c r="D10" s="41"/>
      <c r="E10" s="42"/>
      <c r="F10" s="24">
        <f t="shared" si="0"/>
        <v>1200.4504918032787</v>
      </c>
      <c r="G10" s="43">
        <f>+B45-H10</f>
        <v>61.348852459016399</v>
      </c>
      <c r="H10" s="40"/>
      <c r="I10" s="26"/>
      <c r="J10" s="44">
        <f t="shared" si="1"/>
        <v>61.348852459016399</v>
      </c>
      <c r="K10" s="44">
        <f t="shared" si="2"/>
        <v>1139.1016393442624</v>
      </c>
      <c r="L10" s="27">
        <f>+'04-03-2025'!M10</f>
        <v>1200</v>
      </c>
      <c r="M10" s="28">
        <v>1140</v>
      </c>
      <c r="N10" s="42">
        <f t="shared" si="3"/>
        <v>61.348852459016399</v>
      </c>
      <c r="O10" s="42">
        <f>+C45</f>
        <v>15.25</v>
      </c>
      <c r="P10" s="45">
        <f t="shared" si="4"/>
        <v>935.57</v>
      </c>
      <c r="Q10" s="30">
        <f t="shared" si="5"/>
        <v>0.89836065573763335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6627.4114350527361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6627.4114350527361</v>
      </c>
      <c r="G11" s="21">
        <f t="shared" si="6"/>
        <v>602.58890073044847</v>
      </c>
      <c r="H11" s="21">
        <f t="shared" si="6"/>
        <v>0</v>
      </c>
      <c r="I11" s="21">
        <f t="shared" si="6"/>
        <v>0</v>
      </c>
      <c r="J11" s="21">
        <f t="shared" si="6"/>
        <v>602.58890073044847</v>
      </c>
      <c r="K11" s="21">
        <f t="shared" si="6"/>
        <v>6024.8225343222884</v>
      </c>
      <c r="L11" s="27">
        <f t="shared" si="6"/>
        <v>6622.915731269346</v>
      </c>
      <c r="M11" s="21">
        <f t="shared" si="6"/>
        <v>6008.9718060357009</v>
      </c>
      <c r="N11" s="21">
        <f t="shared" si="6"/>
        <v>602.58890073044847</v>
      </c>
      <c r="O11" s="21"/>
      <c r="P11" s="21">
        <f>SUM(P7:P10)</f>
        <v>6966.3499999999995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602.58890073044847</v>
      </c>
      <c r="P14" s="65">
        <f>+P11</f>
        <v>6966.3499999999995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f>20+20</f>
        <v>40</v>
      </c>
      <c r="F15" s="60">
        <v>0.2</v>
      </c>
      <c r="G15" s="61">
        <f t="shared" si="7"/>
        <v>8</v>
      </c>
      <c r="H15" s="62" t="s">
        <v>146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1104.46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492.6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0.28999999999905413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8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5361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7.7826910928616826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89</v>
      </c>
      <c r="P29" s="100">
        <f>6258.25/500</f>
        <v>12.516500000000001</v>
      </c>
      <c r="Q29" s="97">
        <f>+O9-P29</f>
        <v>2.3635000000000002</v>
      </c>
      <c r="S29" s="48">
        <f>+Q9*-1</f>
        <v>8.9663978494625098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+'03-03-2025'!J34</f>
        <v>-190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8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91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-0.89836065573763335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45721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-190</v>
      </c>
      <c r="K34" s="118" t="s">
        <v>56</v>
      </c>
      <c r="L34" s="125">
        <v>3727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795.92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1634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308.54000000000002</v>
      </c>
      <c r="C36" s="136">
        <v>492.6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9"/>
      <c r="M36" s="281" t="s">
        <v>112</v>
      </c>
      <c r="N36" s="281"/>
      <c r="O36" s="140">
        <f>+L33</f>
        <v>45721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3727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1104.46</v>
      </c>
      <c r="C38" s="153">
        <f>SUM(C35:C37)</f>
        <v>492.6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5361</v>
      </c>
      <c r="M38" s="161" t="s">
        <v>27</v>
      </c>
      <c r="N38" s="162" t="s">
        <v>116</v>
      </c>
      <c r="O38" s="163">
        <f>+L35</f>
        <v>1634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1597.06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5361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0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79.445988629185095</v>
      </c>
      <c r="C42" s="184">
        <v>15.83</v>
      </c>
      <c r="D42" s="185">
        <v>1257.6300000000001</v>
      </c>
      <c r="E42" s="186"/>
      <c r="F42" s="186"/>
      <c r="G42" s="186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177.85013440860214</v>
      </c>
      <c r="C43" s="184">
        <v>14.88</v>
      </c>
      <c r="D43" s="185">
        <v>2646.41</v>
      </c>
      <c r="E43" s="186"/>
      <c r="F43" s="186"/>
      <c r="G43" s="186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6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61.348852459016399</v>
      </c>
      <c r="C45" s="184">
        <v>15.25</v>
      </c>
      <c r="D45" s="185">
        <v>935.57</v>
      </c>
      <c r="E45" s="186"/>
      <c r="F45" s="186"/>
      <c r="G45" s="186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283.94392523364485</v>
      </c>
      <c r="C46" s="184">
        <v>7.49</v>
      </c>
      <c r="D46" s="185">
        <v>2126.7399999999998</v>
      </c>
      <c r="E46" s="186"/>
      <c r="F46" s="186"/>
      <c r="G46" s="212"/>
      <c r="H46" s="262">
        <f>(L34+B38+P21+P22+P20+L36)-SUM(D42:D45)+(P18+P19)</f>
        <v>-0.1499999999996362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602.58890073044859</v>
      </c>
      <c r="C47" s="216"/>
      <c r="D47" s="217">
        <f>SUM(D42:D46)</f>
        <v>6966.3499999999995</v>
      </c>
      <c r="E47" s="217">
        <v>6966.3499999999995</v>
      </c>
      <c r="F47" s="186"/>
      <c r="G47" s="218"/>
      <c r="H47" s="263">
        <f>(C36+L35+L37)-D46</f>
        <v>-0.13999999999987267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224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226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224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224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2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224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24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24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24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24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24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24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24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24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45722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65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+'05-03-2025'!K7</f>
        <v>3168.9718060357013</v>
      </c>
      <c r="C7" s="22">
        <f>L26+L27</f>
        <v>0</v>
      </c>
      <c r="D7" s="23"/>
      <c r="E7" s="23"/>
      <c r="F7" s="24">
        <f t="shared" ref="F7:F10" si="0">+B7+C7+D7+E7</f>
        <v>3168.9718060357013</v>
      </c>
      <c r="G7" s="25">
        <f>B46-H7</f>
        <v>362.42456608811744</v>
      </c>
      <c r="H7" s="22"/>
      <c r="I7" s="26"/>
      <c r="J7" s="21">
        <f t="shared" ref="J7:J10" si="1">+G7+H7+I7</f>
        <v>362.42456608811744</v>
      </c>
      <c r="K7" s="21">
        <f t="shared" ref="K7:K10" si="2">+F7-J7</f>
        <v>2806.5472399475839</v>
      </c>
      <c r="L7" s="27">
        <f>+'05-03-2025'!M7</f>
        <v>3168.9718060357013</v>
      </c>
      <c r="M7" s="28">
        <v>2806.5472399475839</v>
      </c>
      <c r="N7" s="24">
        <f t="shared" ref="N7:N10" si="3">+G7</f>
        <v>362.42456608811744</v>
      </c>
      <c r="O7" s="24">
        <f>+C46</f>
        <v>7.49</v>
      </c>
      <c r="P7" s="29">
        <f t="shared" ref="P7:P10" si="4">+N7*O7</f>
        <v>2714.56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+'05-03-2025'!K8</f>
        <v>1007.7826910928617</v>
      </c>
      <c r="C8" s="22">
        <f>L28</f>
        <v>0</v>
      </c>
      <c r="D8" s="33"/>
      <c r="E8" s="23"/>
      <c r="F8" s="24">
        <f t="shared" si="0"/>
        <v>1007.7826910928617</v>
      </c>
      <c r="G8" s="25">
        <f>+B42-H8</f>
        <v>58.788376500315856</v>
      </c>
      <c r="H8" s="22"/>
      <c r="I8" s="26"/>
      <c r="J8" s="21">
        <f t="shared" si="1"/>
        <v>58.788376500315856</v>
      </c>
      <c r="K8" s="21">
        <f t="shared" si="2"/>
        <v>948.99431459254583</v>
      </c>
      <c r="L8" s="27">
        <f>+'05-03-2025'!M8</f>
        <v>1000</v>
      </c>
      <c r="M8" s="28">
        <v>945</v>
      </c>
      <c r="N8" s="24">
        <f t="shared" si="3"/>
        <v>58.788376500315856</v>
      </c>
      <c r="O8" s="24">
        <f>+C42</f>
        <v>15.83</v>
      </c>
      <c r="P8" s="29">
        <f t="shared" si="4"/>
        <v>930.62</v>
      </c>
      <c r="Q8" s="30">
        <f t="shared" si="5"/>
        <v>-3.9943145925458339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+'05-03-2025'!K9</f>
        <v>708.96639784946251</v>
      </c>
      <c r="C9" s="22">
        <f>L29</f>
        <v>0</v>
      </c>
      <c r="D9" s="33"/>
      <c r="E9" s="23"/>
      <c r="F9" s="24">
        <f t="shared" si="0"/>
        <v>708.96639784946251</v>
      </c>
      <c r="G9" s="25">
        <f>+B43-H9</f>
        <v>244.44892473118279</v>
      </c>
      <c r="H9" s="22"/>
      <c r="I9" s="26"/>
      <c r="J9" s="21">
        <f t="shared" si="1"/>
        <v>244.44892473118279</v>
      </c>
      <c r="K9" s="21">
        <f t="shared" si="2"/>
        <v>464.51747311827972</v>
      </c>
      <c r="L9" s="27">
        <f>+'05-03-2025'!M9</f>
        <v>700</v>
      </c>
      <c r="M9" s="28">
        <v>460</v>
      </c>
      <c r="N9" s="24">
        <f t="shared" si="3"/>
        <v>244.44892473118279</v>
      </c>
      <c r="O9" s="24">
        <f>+C43</f>
        <v>14.88</v>
      </c>
      <c r="P9" s="29">
        <f t="shared" si="4"/>
        <v>3637.4</v>
      </c>
      <c r="Q9" s="30">
        <f t="shared" si="5"/>
        <v>-4.5174731182797245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+'05-03-2025'!K10</f>
        <v>1139.1016393442624</v>
      </c>
      <c r="C10" s="40">
        <f>L31</f>
        <v>0</v>
      </c>
      <c r="D10" s="41"/>
      <c r="E10" s="42"/>
      <c r="F10" s="24">
        <f t="shared" si="0"/>
        <v>1139.1016393442624</v>
      </c>
      <c r="G10" s="43">
        <f>+B45-H10</f>
        <v>105.92786885245903</v>
      </c>
      <c r="H10" s="40"/>
      <c r="I10" s="26"/>
      <c r="J10" s="44">
        <f t="shared" si="1"/>
        <v>105.92786885245903</v>
      </c>
      <c r="K10" s="44">
        <f t="shared" si="2"/>
        <v>1033.1737704918032</v>
      </c>
      <c r="L10" s="27">
        <f>+'05-03-2025'!M10</f>
        <v>1140</v>
      </c>
      <c r="M10" s="28">
        <v>1034</v>
      </c>
      <c r="N10" s="42">
        <f t="shared" si="3"/>
        <v>105.92786885245903</v>
      </c>
      <c r="O10" s="42">
        <f>+C45</f>
        <v>15.25</v>
      </c>
      <c r="P10" s="45">
        <f t="shared" si="4"/>
        <v>1615.4</v>
      </c>
      <c r="Q10" s="30">
        <f t="shared" si="5"/>
        <v>0.82622950819677499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6024.8225343222884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6024.8225343222884</v>
      </c>
      <c r="G11" s="21">
        <f t="shared" si="6"/>
        <v>771.58973617207505</v>
      </c>
      <c r="H11" s="21">
        <f t="shared" si="6"/>
        <v>0</v>
      </c>
      <c r="I11" s="21">
        <f t="shared" si="6"/>
        <v>0</v>
      </c>
      <c r="J11" s="21">
        <f t="shared" si="6"/>
        <v>771.58973617207505</v>
      </c>
      <c r="K11" s="21">
        <f t="shared" si="6"/>
        <v>5253.2327981502131</v>
      </c>
      <c r="L11" s="27">
        <f t="shared" si="6"/>
        <v>6008.9718060357009</v>
      </c>
      <c r="M11" s="21">
        <f t="shared" si="6"/>
        <v>5245.5472399475839</v>
      </c>
      <c r="N11" s="21">
        <f t="shared" si="6"/>
        <v>771.58973617207505</v>
      </c>
      <c r="O11" s="21"/>
      <c r="P11" s="21">
        <f>SUM(P7:P10)</f>
        <v>8897.98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771.58973617207505</v>
      </c>
      <c r="P14" s="65">
        <f>+P11</f>
        <v>8897.98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149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1796.05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705.83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>
        <v>83.593999999999994</v>
      </c>
      <c r="F17" s="60">
        <v>0.2</v>
      </c>
      <c r="G17" s="61">
        <f t="shared" si="7"/>
        <v>16.718799999999998</v>
      </c>
      <c r="H17" s="62" t="s">
        <v>147</v>
      </c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2.1078000000006796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>
        <v>18.367000000000001</v>
      </c>
      <c r="F18" s="60">
        <v>0.2</v>
      </c>
      <c r="G18" s="61">
        <f t="shared" si="7"/>
        <v>3.6734000000000004</v>
      </c>
      <c r="H18" s="71" t="s">
        <v>148</v>
      </c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24.392199999999999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50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6319.5999999999985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3.9943145925458339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89</v>
      </c>
      <c r="P29" s="100">
        <f>6258.25/500</f>
        <v>12.516500000000001</v>
      </c>
      <c r="Q29" s="97">
        <f>+O9-P29</f>
        <v>2.3635000000000002</v>
      </c>
      <c r="S29" s="48">
        <f>+Q9*-1</f>
        <v>4.5174731182797245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+'03-03-2025'!J34</f>
        <v>-190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24.392199999999999</v>
      </c>
      <c r="H31" s="104"/>
      <c r="I31" s="74" t="s">
        <v>96</v>
      </c>
      <c r="J31" s="105">
        <v>50</v>
      </c>
      <c r="K31" s="106" t="s">
        <v>31</v>
      </c>
      <c r="L31" s="92"/>
      <c r="M31" s="94"/>
      <c r="N31" s="94"/>
      <c r="O31" s="95" t="s">
        <v>91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-0.82622950819677499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45722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-240</v>
      </c>
      <c r="K34" s="118" t="s">
        <v>56</v>
      </c>
      <c r="L34" s="125">
        <v>3312.9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1007.81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2006.7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788.24</v>
      </c>
      <c r="C36" s="136">
        <v>705.83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9">
        <v>1000</v>
      </c>
      <c r="M36" s="281" t="s">
        <v>112</v>
      </c>
      <c r="N36" s="281"/>
      <c r="O36" s="140">
        <f>+L33</f>
        <v>45722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3312.9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1796.05</v>
      </c>
      <c r="C38" s="153">
        <f>SUM(C35:C37)</f>
        <v>705.83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6319.6</v>
      </c>
      <c r="M38" s="161" t="s">
        <v>27</v>
      </c>
      <c r="N38" s="162" t="s">
        <v>116</v>
      </c>
      <c r="O38" s="163">
        <f>+L35</f>
        <v>2006.7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2501.88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5319.6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0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58.788376500315856</v>
      </c>
      <c r="C42" s="184">
        <v>15.83</v>
      </c>
      <c r="D42" s="185">
        <v>930.62</v>
      </c>
      <c r="E42" s="186"/>
      <c r="F42" s="186"/>
      <c r="G42" s="186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244.44892473118279</v>
      </c>
      <c r="C43" s="184">
        <v>14.88</v>
      </c>
      <c r="D43" s="185">
        <v>3637.4</v>
      </c>
      <c r="E43" s="186"/>
      <c r="F43" s="186"/>
      <c r="G43" s="186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6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105.92786885245903</v>
      </c>
      <c r="C45" s="184">
        <v>15.25</v>
      </c>
      <c r="D45" s="185">
        <v>1615.4</v>
      </c>
      <c r="E45" s="186"/>
      <c r="F45" s="186"/>
      <c r="G45" s="186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362.42456608811744</v>
      </c>
      <c r="C46" s="184">
        <v>7.49</v>
      </c>
      <c r="D46" s="185">
        <v>2714.56</v>
      </c>
      <c r="E46" s="186"/>
      <c r="F46" s="186"/>
      <c r="G46" s="212"/>
      <c r="H46" s="262">
        <f>(L34+B38+P21+P22+P20+L36)-SUM(D42:D45)+(P18+P19)</f>
        <v>-7.7800000000024738E-2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771.58973617207516</v>
      </c>
      <c r="C47" s="216"/>
      <c r="D47" s="217">
        <f>SUM(D42:D46)</f>
        <v>8897.98</v>
      </c>
      <c r="E47" s="217">
        <v>8897.98</v>
      </c>
      <c r="F47" s="186"/>
      <c r="G47" s="218"/>
      <c r="H47" s="263">
        <f>(C36+L35+L37)-D46</f>
        <v>-2.0299999999997453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224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226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224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224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2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224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24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24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24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24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24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24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24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24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45723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66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+'06-03-2025'!K7</f>
        <v>2806.5472399475839</v>
      </c>
      <c r="C7" s="22">
        <f>L26+L27</f>
        <v>0</v>
      </c>
      <c r="D7" s="23"/>
      <c r="E7" s="23"/>
      <c r="F7" s="24">
        <f t="shared" ref="F7:F10" si="0">+B7+C7+D7+E7</f>
        <v>2806.5472399475839</v>
      </c>
      <c r="G7" s="25">
        <f>B46-H7</f>
        <v>305.85981308411215</v>
      </c>
      <c r="H7" s="22"/>
      <c r="I7" s="26"/>
      <c r="J7" s="21">
        <f t="shared" ref="J7:J10" si="1">+G7+H7+I7</f>
        <v>305.85981308411215</v>
      </c>
      <c r="K7" s="21">
        <f t="shared" ref="K7:K10" si="2">+F7-J7</f>
        <v>2500.687426863472</v>
      </c>
      <c r="L7" s="27">
        <f>+'06-03-2025'!M7</f>
        <v>2806.5472399475839</v>
      </c>
      <c r="M7" s="28">
        <v>2500.687426863472</v>
      </c>
      <c r="N7" s="24">
        <f t="shared" ref="N7:N10" si="3">+G7</f>
        <v>305.85981308411215</v>
      </c>
      <c r="O7" s="24">
        <f>+C46</f>
        <v>7.49</v>
      </c>
      <c r="P7" s="29">
        <f t="shared" ref="P7:P10" si="4">+N7*O7</f>
        <v>2290.89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+'06-03-2025'!K8</f>
        <v>948.99431459254583</v>
      </c>
      <c r="C8" s="22">
        <f>L28</f>
        <v>0</v>
      </c>
      <c r="D8" s="33"/>
      <c r="E8" s="23"/>
      <c r="F8" s="24">
        <f t="shared" si="0"/>
        <v>948.99431459254583</v>
      </c>
      <c r="G8" s="25">
        <f>+B42-H8</f>
        <v>111.53885028427038</v>
      </c>
      <c r="H8" s="22"/>
      <c r="I8" s="26"/>
      <c r="J8" s="21">
        <f t="shared" si="1"/>
        <v>111.53885028427038</v>
      </c>
      <c r="K8" s="21">
        <f t="shared" si="2"/>
        <v>837.4554643082754</v>
      </c>
      <c r="L8" s="27">
        <f>+'06-03-2025'!M8</f>
        <v>945</v>
      </c>
      <c r="M8" s="28">
        <v>835</v>
      </c>
      <c r="N8" s="24">
        <f t="shared" si="3"/>
        <v>111.53885028427038</v>
      </c>
      <c r="O8" s="24">
        <f>+C42</f>
        <v>15.83</v>
      </c>
      <c r="P8" s="29">
        <f t="shared" si="4"/>
        <v>1765.66</v>
      </c>
      <c r="Q8" s="30">
        <f t="shared" si="5"/>
        <v>-2.4554643082753955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+'06-03-2025'!K9</f>
        <v>464.51747311827972</v>
      </c>
      <c r="C9" s="22">
        <f>L29</f>
        <v>1150</v>
      </c>
      <c r="D9" s="33"/>
      <c r="E9" s="23"/>
      <c r="F9" s="24">
        <f t="shared" si="0"/>
        <v>1614.5174731182797</v>
      </c>
      <c r="G9" s="25">
        <f>+B43-H9</f>
        <v>132.18413978494624</v>
      </c>
      <c r="H9" s="22"/>
      <c r="I9" s="26"/>
      <c r="J9" s="21">
        <f t="shared" si="1"/>
        <v>132.18413978494624</v>
      </c>
      <c r="K9" s="21">
        <f t="shared" si="2"/>
        <v>1482.3333333333335</v>
      </c>
      <c r="L9" s="27">
        <f>+'06-03-2025'!M9</f>
        <v>460</v>
      </c>
      <c r="M9" s="28">
        <v>1480</v>
      </c>
      <c r="N9" s="24">
        <f t="shared" si="3"/>
        <v>132.18413978494624</v>
      </c>
      <c r="O9" s="24">
        <f>+C43</f>
        <v>14.88</v>
      </c>
      <c r="P9" s="29">
        <f t="shared" si="4"/>
        <v>1966.9</v>
      </c>
      <c r="Q9" s="30">
        <f t="shared" si="5"/>
        <v>-2.3333333333334849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+'06-03-2025'!K10</f>
        <v>1033.1737704918032</v>
      </c>
      <c r="C10" s="40">
        <f>L31</f>
        <v>1050</v>
      </c>
      <c r="D10" s="41"/>
      <c r="E10" s="42"/>
      <c r="F10" s="24">
        <f t="shared" si="0"/>
        <v>2083.1737704918032</v>
      </c>
      <c r="G10" s="43">
        <f>+B45-H10</f>
        <v>73.771803278688523</v>
      </c>
      <c r="H10" s="40"/>
      <c r="I10" s="26"/>
      <c r="J10" s="44">
        <f t="shared" si="1"/>
        <v>73.771803278688523</v>
      </c>
      <c r="K10" s="44">
        <f t="shared" si="2"/>
        <v>2009.4019672131146</v>
      </c>
      <c r="L10" s="27">
        <f>+'06-03-2025'!M10</f>
        <v>1034</v>
      </c>
      <c r="M10" s="28">
        <v>2010</v>
      </c>
      <c r="N10" s="42">
        <f t="shared" si="3"/>
        <v>73.771803278688523</v>
      </c>
      <c r="O10" s="42">
        <f>+C45</f>
        <v>15.25</v>
      </c>
      <c r="P10" s="45">
        <f t="shared" si="4"/>
        <v>1125.02</v>
      </c>
      <c r="Q10" s="30">
        <f t="shared" si="5"/>
        <v>0.59803278688536921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5253.2327981502131</v>
      </c>
      <c r="C11" s="21">
        <f t="shared" si="6"/>
        <v>2200</v>
      </c>
      <c r="D11" s="21">
        <f t="shared" si="6"/>
        <v>0</v>
      </c>
      <c r="E11" s="21">
        <f t="shared" si="6"/>
        <v>0</v>
      </c>
      <c r="F11" s="21">
        <f t="shared" si="6"/>
        <v>7453.2327981502131</v>
      </c>
      <c r="G11" s="21">
        <f t="shared" si="6"/>
        <v>623.35460643201725</v>
      </c>
      <c r="H11" s="21">
        <f t="shared" si="6"/>
        <v>0</v>
      </c>
      <c r="I11" s="21">
        <f t="shared" si="6"/>
        <v>0</v>
      </c>
      <c r="J11" s="21">
        <f t="shared" si="6"/>
        <v>623.35460643201725</v>
      </c>
      <c r="K11" s="21">
        <f t="shared" si="6"/>
        <v>6829.878191718195</v>
      </c>
      <c r="L11" s="27">
        <f t="shared" si="6"/>
        <v>5245.5472399475839</v>
      </c>
      <c r="M11" s="21">
        <f t="shared" si="6"/>
        <v>6825.687426863472</v>
      </c>
      <c r="N11" s="21">
        <f t="shared" si="6"/>
        <v>623.35460643201725</v>
      </c>
      <c r="O11" s="21"/>
      <c r="P11" s="21">
        <f>SUM(P7:P10)</f>
        <v>7148.4700000000012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623.35460643201725</v>
      </c>
      <c r="P14" s="65">
        <f>+P11</f>
        <v>7148.4700000000012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/>
      <c r="F15" s="60">
        <v>0.2</v>
      </c>
      <c r="G15" s="61">
        <f t="shared" si="7"/>
        <v>0</v>
      </c>
      <c r="H15" s="62"/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1358.52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675.21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0.24000000000160071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0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25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5089.5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2.4554643082753955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>
        <v>1150</v>
      </c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2.3333333333334849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+'06-03-2025'!J34</f>
        <v>-240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0</v>
      </c>
      <c r="H31" s="104"/>
      <c r="I31" s="74" t="s">
        <v>96</v>
      </c>
      <c r="J31" s="105">
        <v>25</v>
      </c>
      <c r="K31" s="106" t="s">
        <v>31</v>
      </c>
      <c r="L31" s="92">
        <v>1050</v>
      </c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-0.59803278688536921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45723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-265</v>
      </c>
      <c r="K34" s="118" t="s">
        <v>56</v>
      </c>
      <c r="L34" s="125">
        <v>3474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1263.52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1615.5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95</v>
      </c>
      <c r="C36" s="136">
        <v>675.21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9"/>
      <c r="M36" s="281" t="s">
        <v>112</v>
      </c>
      <c r="N36" s="281"/>
      <c r="O36" s="140">
        <f>+L33</f>
        <v>45723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3474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1358.52</v>
      </c>
      <c r="C38" s="153">
        <f>SUM(C35:C37)</f>
        <v>675.21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5089.5</v>
      </c>
      <c r="M38" s="161" t="s">
        <v>27</v>
      </c>
      <c r="N38" s="162" t="s">
        <v>116</v>
      </c>
      <c r="O38" s="163">
        <f>+L35</f>
        <v>1615.5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2033.73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5089.5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0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111.53885028427038</v>
      </c>
      <c r="C42" s="184">
        <v>15.83</v>
      </c>
      <c r="D42" s="185">
        <v>1765.66</v>
      </c>
      <c r="E42" s="186"/>
      <c r="F42" s="186"/>
      <c r="G42" s="186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132.18413978494624</v>
      </c>
      <c r="C43" s="184">
        <v>14.88</v>
      </c>
      <c r="D43" s="185">
        <v>1966.9</v>
      </c>
      <c r="E43" s="186"/>
      <c r="F43" s="186"/>
      <c r="G43" s="186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6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73.771803278688523</v>
      </c>
      <c r="C45" s="184">
        <v>15.25</v>
      </c>
      <c r="D45" s="185">
        <v>1125.02</v>
      </c>
      <c r="E45" s="186"/>
      <c r="F45" s="186"/>
      <c r="G45" s="186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305.85981308411215</v>
      </c>
      <c r="C46" s="184">
        <v>7.49</v>
      </c>
      <c r="D46" s="185">
        <v>2290.89</v>
      </c>
      <c r="E46" s="186"/>
      <c r="F46" s="186"/>
      <c r="G46" s="212"/>
      <c r="H46" s="262">
        <f>(L34+B38+P21+P22+P20+L36)-SUM(D42:D45)+(P18+P19)</f>
        <v>-5.9999999999490683E-2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623.35460643201736</v>
      </c>
      <c r="C47" s="216"/>
      <c r="D47" s="217">
        <f>SUM(D42:D46)</f>
        <v>7148.4699999999993</v>
      </c>
      <c r="E47" s="217">
        <v>7148.4699999999993</v>
      </c>
      <c r="F47" s="186"/>
      <c r="G47" s="218"/>
      <c r="H47" s="263">
        <f>(C36+L35+L37)-D46</f>
        <v>-0.17999999999983629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224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226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224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224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2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224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24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24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24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24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24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24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24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24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45724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67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+'07-03-2025'!K7</f>
        <v>2500.687426863472</v>
      </c>
      <c r="C7" s="22">
        <f>L26+L27</f>
        <v>0</v>
      </c>
      <c r="D7" s="23"/>
      <c r="E7" s="23"/>
      <c r="F7" s="24">
        <f t="shared" ref="F7:F10" si="0">+B7+C7+D7+E7</f>
        <v>2500.687426863472</v>
      </c>
      <c r="G7" s="25">
        <f>B46-H7</f>
        <v>407.27503337783708</v>
      </c>
      <c r="H7" s="22"/>
      <c r="I7" s="26"/>
      <c r="J7" s="21">
        <f t="shared" ref="J7:J10" si="1">+G7+H7+I7</f>
        <v>407.27503337783708</v>
      </c>
      <c r="K7" s="21">
        <f t="shared" ref="K7:K10" si="2">+F7-J7</f>
        <v>2093.4123934856348</v>
      </c>
      <c r="L7" s="27">
        <f>+'07-03-2025'!M7</f>
        <v>2500.687426863472</v>
      </c>
      <c r="M7" s="28">
        <v>2093.4123934856348</v>
      </c>
      <c r="N7" s="24">
        <f t="shared" ref="N7:N10" si="3">+G7</f>
        <v>407.27503337783708</v>
      </c>
      <c r="O7" s="24">
        <f>+C46</f>
        <v>7.49</v>
      </c>
      <c r="P7" s="29">
        <f t="shared" ref="P7:P10" si="4">+N7*O7</f>
        <v>3050.49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+'07-03-2025'!K8</f>
        <v>837.4554643082754</v>
      </c>
      <c r="C8" s="22">
        <f>L28</f>
        <v>0</v>
      </c>
      <c r="D8" s="33"/>
      <c r="E8" s="23"/>
      <c r="F8" s="24">
        <f t="shared" si="0"/>
        <v>837.4554643082754</v>
      </c>
      <c r="G8" s="25">
        <f>+B42-H8</f>
        <v>146.31711939355654</v>
      </c>
      <c r="H8" s="22"/>
      <c r="I8" s="26"/>
      <c r="J8" s="21">
        <f t="shared" si="1"/>
        <v>146.31711939355654</v>
      </c>
      <c r="K8" s="21">
        <f t="shared" si="2"/>
        <v>691.1383449147188</v>
      </c>
      <c r="L8" s="27">
        <f>+'07-03-2025'!M8</f>
        <v>835</v>
      </c>
      <c r="M8" s="28">
        <v>685</v>
      </c>
      <c r="N8" s="24">
        <f t="shared" si="3"/>
        <v>146.31711939355654</v>
      </c>
      <c r="O8" s="24">
        <f>+C42</f>
        <v>15.83</v>
      </c>
      <c r="P8" s="29">
        <f t="shared" si="4"/>
        <v>2316.1999999999998</v>
      </c>
      <c r="Q8" s="30">
        <f t="shared" si="5"/>
        <v>-6.1383449147188003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+'07-03-2025'!K9</f>
        <v>1482.3333333333335</v>
      </c>
      <c r="C9" s="22">
        <f>L29</f>
        <v>0</v>
      </c>
      <c r="D9" s="33"/>
      <c r="E9" s="23"/>
      <c r="F9" s="24">
        <f t="shared" si="0"/>
        <v>1482.3333333333335</v>
      </c>
      <c r="G9" s="25">
        <f>+B43-H9</f>
        <v>180.96841397849462</v>
      </c>
      <c r="H9" s="22"/>
      <c r="I9" s="26"/>
      <c r="J9" s="21">
        <f t="shared" si="1"/>
        <v>180.96841397849462</v>
      </c>
      <c r="K9" s="21">
        <f t="shared" si="2"/>
        <v>1301.3649193548388</v>
      </c>
      <c r="L9" s="27">
        <f>+'07-03-2025'!M9</f>
        <v>1480</v>
      </c>
      <c r="M9" s="28">
        <v>1295</v>
      </c>
      <c r="N9" s="24">
        <f t="shared" si="3"/>
        <v>180.96841397849462</v>
      </c>
      <c r="O9" s="24">
        <f>+C43</f>
        <v>14.88</v>
      </c>
      <c r="P9" s="29">
        <f t="shared" si="4"/>
        <v>2692.81</v>
      </c>
      <c r="Q9" s="30">
        <f t="shared" si="5"/>
        <v>-6.3649193548387757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+'07-03-2025'!K10</f>
        <v>2009.4019672131146</v>
      </c>
      <c r="C10" s="40">
        <f>L31</f>
        <v>0</v>
      </c>
      <c r="D10" s="41"/>
      <c r="E10" s="42"/>
      <c r="F10" s="24">
        <f t="shared" si="0"/>
        <v>2009.4019672131146</v>
      </c>
      <c r="G10" s="43">
        <f>+B45-H10</f>
        <v>112.99081967213114</v>
      </c>
      <c r="H10" s="40"/>
      <c r="I10" s="26"/>
      <c r="J10" s="44">
        <f t="shared" si="1"/>
        <v>112.99081967213114</v>
      </c>
      <c r="K10" s="44">
        <f t="shared" si="2"/>
        <v>1896.4111475409834</v>
      </c>
      <c r="L10" s="27">
        <f>+'07-03-2025'!M10</f>
        <v>2010</v>
      </c>
      <c r="M10" s="28">
        <v>1897</v>
      </c>
      <c r="N10" s="42">
        <f t="shared" si="3"/>
        <v>112.99081967213114</v>
      </c>
      <c r="O10" s="42">
        <f>+C45</f>
        <v>15.25</v>
      </c>
      <c r="P10" s="45">
        <f t="shared" si="4"/>
        <v>1723.11</v>
      </c>
      <c r="Q10" s="30">
        <f t="shared" si="5"/>
        <v>0.5888524590166071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6829.878191718195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6829.878191718195</v>
      </c>
      <c r="G11" s="21">
        <f t="shared" si="6"/>
        <v>847.55138642201928</v>
      </c>
      <c r="H11" s="21">
        <f t="shared" si="6"/>
        <v>0</v>
      </c>
      <c r="I11" s="21">
        <f t="shared" si="6"/>
        <v>0</v>
      </c>
      <c r="J11" s="21">
        <f t="shared" si="6"/>
        <v>847.55138642201928</v>
      </c>
      <c r="K11" s="21">
        <f t="shared" si="6"/>
        <v>5982.3268052961757</v>
      </c>
      <c r="L11" s="27">
        <f t="shared" si="6"/>
        <v>6825.687426863472</v>
      </c>
      <c r="M11" s="21">
        <f t="shared" si="6"/>
        <v>5970.4123934856343</v>
      </c>
      <c r="N11" s="21">
        <f t="shared" si="6"/>
        <v>847.55138642201928</v>
      </c>
      <c r="O11" s="21"/>
      <c r="P11" s="21">
        <f>SUM(P7:P10)</f>
        <v>9782.61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847.55138642201928</v>
      </c>
      <c r="P14" s="65">
        <f>+P11</f>
        <v>9782.61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150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2185.48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613.84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0.25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>
        <v>393.04</v>
      </c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443.04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4494.5404099999996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6536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6.1383449147188003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6.3649193548387757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+'07-03-2025'!J34</f>
        <v>-265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>
        <v>50</v>
      </c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-0.5888524590166071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45724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-315</v>
      </c>
      <c r="K34" s="118" t="s">
        <v>56</v>
      </c>
      <c r="L34" s="125">
        <v>4099.5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1702.72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2436.5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482.76</v>
      </c>
      <c r="C36" s="136">
        <v>613.84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9"/>
      <c r="M36" s="281" t="s">
        <v>112</v>
      </c>
      <c r="N36" s="281"/>
      <c r="O36" s="140">
        <f>+L33</f>
        <v>45724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4099.5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2185.48</v>
      </c>
      <c r="C38" s="153">
        <f>SUM(C35:C37)</f>
        <v>613.84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6536</v>
      </c>
      <c r="M38" s="161" t="s">
        <v>27</v>
      </c>
      <c r="N38" s="162" t="s">
        <v>116</v>
      </c>
      <c r="O38" s="163">
        <f>+L35</f>
        <v>2436.5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2799.32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6536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0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146.31711939355654</v>
      </c>
      <c r="C42" s="184">
        <v>15.83</v>
      </c>
      <c r="D42" s="185">
        <v>2316.1999999999998</v>
      </c>
      <c r="E42" s="186"/>
      <c r="F42" s="186"/>
      <c r="G42" s="186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180.96841397849462</v>
      </c>
      <c r="C43" s="184">
        <v>14.88</v>
      </c>
      <c r="D43" s="185">
        <v>2692.81</v>
      </c>
      <c r="E43" s="186"/>
      <c r="F43" s="186"/>
      <c r="G43" s="186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6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112.99081967213114</v>
      </c>
      <c r="C45" s="184">
        <v>15.25</v>
      </c>
      <c r="D45" s="185">
        <v>1723.11</v>
      </c>
      <c r="E45" s="186"/>
      <c r="F45" s="186"/>
      <c r="G45" s="186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407.27503337783708</v>
      </c>
      <c r="C46" s="184">
        <v>7.49</v>
      </c>
      <c r="D46" s="185">
        <v>3050.49</v>
      </c>
      <c r="E46" s="186"/>
      <c r="F46" s="186"/>
      <c r="G46" s="212"/>
      <c r="H46" s="262">
        <f>(L34+B38+P21+P22+P20+L36)-SUM(D42:D45)+(P18+P19)</f>
        <v>-0.1000000000003638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847.55138642201939</v>
      </c>
      <c r="C47" s="216"/>
      <c r="D47" s="217">
        <f>SUM(D42:D46)</f>
        <v>9782.61</v>
      </c>
      <c r="E47" s="217">
        <v>9782.61</v>
      </c>
      <c r="F47" s="186"/>
      <c r="G47" s="218"/>
      <c r="H47" s="263">
        <f>(C36+L35+L37)-D46</f>
        <v>-0.1499999999996362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224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226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224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224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2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224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24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24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24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24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24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24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24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24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1"/>
  <sheetViews>
    <sheetView zoomScale="90" zoomScaleNormal="90" workbookViewId="0">
      <selection activeCell="K6" sqref="K6"/>
    </sheetView>
  </sheetViews>
  <sheetFormatPr baseColWidth="10" defaultColWidth="11.42578125" defaultRowHeight="15" x14ac:dyDescent="0.25"/>
  <cols>
    <col min="1" max="1" width="10.7109375" style="3" customWidth="1"/>
    <col min="2" max="2" width="14.5703125" style="3" customWidth="1"/>
    <col min="3" max="3" width="11.85546875" style="3" customWidth="1"/>
    <col min="4" max="4" width="12.28515625" style="3" customWidth="1"/>
    <col min="5" max="5" width="13.42578125" style="3" bestFit="1" customWidth="1"/>
    <col min="6" max="6" width="12.7109375" style="3" customWidth="1"/>
    <col min="7" max="7" width="11.28515625" style="3" customWidth="1"/>
    <col min="8" max="8" width="12" style="3" customWidth="1"/>
    <col min="9" max="9" width="12.140625" style="3" customWidth="1"/>
    <col min="10" max="10" width="11.42578125" style="3" customWidth="1"/>
    <col min="11" max="11" width="12.140625" style="3" bestFit="1" customWidth="1"/>
    <col min="12" max="12" width="13.28515625" style="3" bestFit="1" customWidth="1"/>
    <col min="13" max="13" width="12.42578125" style="3" customWidth="1"/>
    <col min="14" max="14" width="14.7109375" style="3" customWidth="1"/>
    <col min="15" max="15" width="15" style="3" customWidth="1"/>
    <col min="16" max="16" width="16" style="3" customWidth="1"/>
    <col min="17" max="17" width="11.42578125" style="70" bestFit="1" customWidth="1"/>
    <col min="18" max="18" width="3.42578125" style="3" customWidth="1"/>
    <col min="19" max="19" width="13.140625" style="3" customWidth="1"/>
    <col min="20" max="20" width="12" style="3" bestFit="1" customWidth="1"/>
    <col min="21" max="16384" width="11.42578125" style="3"/>
  </cols>
  <sheetData>
    <row r="1" spans="1:24" x14ac:dyDescent="0.25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25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45725</v>
      </c>
      <c r="P2" s="354"/>
      <c r="Q2" s="5">
        <v>45658</v>
      </c>
    </row>
    <row r="3" spans="1:24" ht="15.75" thickBot="1" x14ac:dyDescent="0.3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68</v>
      </c>
      <c r="P3" s="359"/>
      <c r="Q3" s="5">
        <v>44197</v>
      </c>
      <c r="R3" s="7"/>
    </row>
    <row r="4" spans="1:2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25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2.5" x14ac:dyDescent="0.25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199</v>
      </c>
      <c r="L6" s="16" t="s">
        <v>198</v>
      </c>
      <c r="M6" s="16" t="s">
        <v>196</v>
      </c>
      <c r="N6" s="16" t="s">
        <v>197</v>
      </c>
      <c r="O6" s="16" t="s">
        <v>24</v>
      </c>
      <c r="P6" s="17" t="s">
        <v>25</v>
      </c>
      <c r="Q6" s="18" t="s">
        <v>26</v>
      </c>
      <c r="R6" s="19"/>
    </row>
    <row r="7" spans="1:24" s="31" customFormat="1" ht="15" customHeight="1" x14ac:dyDescent="0.25">
      <c r="A7" s="20" t="s">
        <v>27</v>
      </c>
      <c r="B7" s="21">
        <f>+'08-03-2025'!K7</f>
        <v>2093.4123934856348</v>
      </c>
      <c r="C7" s="22">
        <f>L26+L27</f>
        <v>0</v>
      </c>
      <c r="D7" s="23"/>
      <c r="E7" s="23"/>
      <c r="F7" s="24">
        <f t="shared" ref="F7:F10" si="0">+B7+C7+D7+E7</f>
        <v>2093.4123934856348</v>
      </c>
      <c r="G7" s="25">
        <f>B46-H7</f>
        <v>251.17222963951934</v>
      </c>
      <c r="H7" s="22"/>
      <c r="I7" s="26"/>
      <c r="J7" s="21">
        <f t="shared" ref="J7:J10" si="1">+G7+H7+I7</f>
        <v>251.17222963951934</v>
      </c>
      <c r="K7" s="21">
        <f t="shared" ref="K7:K10" si="2">+F7-J7</f>
        <v>1842.2401638461154</v>
      </c>
      <c r="L7" s="27">
        <f>+'08-03-2025'!M7</f>
        <v>2093.4123934856348</v>
      </c>
      <c r="M7" s="28">
        <v>1842.2401638461154</v>
      </c>
      <c r="N7" s="24">
        <f t="shared" ref="N7:N10" si="3">+G7</f>
        <v>251.17222963951934</v>
      </c>
      <c r="O7" s="24">
        <f>+C46</f>
        <v>7.49</v>
      </c>
      <c r="P7" s="29">
        <f t="shared" ref="P7:P10" si="4">+N7*O7</f>
        <v>1881.28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25">
      <c r="A8" s="20" t="s">
        <v>28</v>
      </c>
      <c r="B8" s="21">
        <f>+'08-03-2025'!K8</f>
        <v>691.1383449147188</v>
      </c>
      <c r="C8" s="22">
        <f>L28</f>
        <v>0</v>
      </c>
      <c r="D8" s="33"/>
      <c r="E8" s="23"/>
      <c r="F8" s="24">
        <f t="shared" si="0"/>
        <v>691.1383449147188</v>
      </c>
      <c r="G8" s="25">
        <f>+B42-H8</f>
        <v>72.363866077068849</v>
      </c>
      <c r="H8" s="22"/>
      <c r="I8" s="26"/>
      <c r="J8" s="21">
        <f t="shared" si="1"/>
        <v>72.363866077068849</v>
      </c>
      <c r="K8" s="21">
        <f t="shared" si="2"/>
        <v>618.77447883764989</v>
      </c>
      <c r="L8" s="27">
        <f>+'08-03-2025'!M8</f>
        <v>685</v>
      </c>
      <c r="M8" s="28">
        <v>610</v>
      </c>
      <c r="N8" s="24">
        <f t="shared" si="3"/>
        <v>72.363866077068849</v>
      </c>
      <c r="O8" s="24">
        <f>+C42</f>
        <v>15.83</v>
      </c>
      <c r="P8" s="29">
        <f t="shared" si="4"/>
        <v>1145.52</v>
      </c>
      <c r="Q8" s="30">
        <f t="shared" si="5"/>
        <v>-8.7744788376498946</v>
      </c>
      <c r="S8" s="32"/>
      <c r="T8" s="35">
        <v>150</v>
      </c>
      <c r="U8" s="32"/>
      <c r="V8" s="32"/>
      <c r="W8" s="36"/>
      <c r="X8" s="36"/>
    </row>
    <row r="9" spans="1:24" s="31" customFormat="1" x14ac:dyDescent="0.25">
      <c r="A9" s="37" t="s">
        <v>29</v>
      </c>
      <c r="B9" s="21">
        <f>+'08-03-2025'!K9</f>
        <v>1301.3649193548388</v>
      </c>
      <c r="C9" s="22">
        <f>L29</f>
        <v>0</v>
      </c>
      <c r="D9" s="33"/>
      <c r="E9" s="23"/>
      <c r="F9" s="24">
        <f t="shared" si="0"/>
        <v>1301.3649193548388</v>
      </c>
      <c r="G9" s="25">
        <f>+B43-H9</f>
        <v>106.34005376344085</v>
      </c>
      <c r="H9" s="22"/>
      <c r="I9" s="26"/>
      <c r="J9" s="21">
        <f t="shared" si="1"/>
        <v>106.34005376344085</v>
      </c>
      <c r="K9" s="21">
        <f t="shared" si="2"/>
        <v>1195.0248655913979</v>
      </c>
      <c r="L9" s="27">
        <f>+'08-03-2025'!M9</f>
        <v>1295</v>
      </c>
      <c r="M9" s="28">
        <v>1190</v>
      </c>
      <c r="N9" s="24">
        <f t="shared" si="3"/>
        <v>106.34005376344085</v>
      </c>
      <c r="O9" s="24">
        <f>+C43</f>
        <v>14.88</v>
      </c>
      <c r="P9" s="29">
        <f t="shared" si="4"/>
        <v>1582.34</v>
      </c>
      <c r="Q9" s="30">
        <f t="shared" si="5"/>
        <v>-5.0248655913978837</v>
      </c>
      <c r="R9" s="34"/>
      <c r="S9" s="32"/>
      <c r="T9" s="38">
        <v>160</v>
      </c>
    </row>
    <row r="10" spans="1:24" s="31" customFormat="1" ht="15.75" thickBot="1" x14ac:dyDescent="0.3">
      <c r="A10" s="39" t="s">
        <v>195</v>
      </c>
      <c r="B10" s="21">
        <f>+'08-03-2025'!K10</f>
        <v>1896.4111475409834</v>
      </c>
      <c r="C10" s="40">
        <f>L31</f>
        <v>0</v>
      </c>
      <c r="D10" s="41"/>
      <c r="E10" s="42"/>
      <c r="F10" s="24">
        <f t="shared" si="0"/>
        <v>1896.4111475409834</v>
      </c>
      <c r="G10" s="43">
        <f>+B45-H10</f>
        <v>52.856393442622945</v>
      </c>
      <c r="H10" s="40"/>
      <c r="I10" s="26"/>
      <c r="J10" s="44">
        <f t="shared" si="1"/>
        <v>52.856393442622945</v>
      </c>
      <c r="K10" s="44">
        <f t="shared" si="2"/>
        <v>1843.5547540983605</v>
      </c>
      <c r="L10" s="27">
        <f>+'08-03-2025'!M10</f>
        <v>1897</v>
      </c>
      <c r="M10" s="28">
        <v>1845</v>
      </c>
      <c r="N10" s="42">
        <f t="shared" si="3"/>
        <v>52.856393442622945</v>
      </c>
      <c r="O10" s="42">
        <f>+C45</f>
        <v>15.25</v>
      </c>
      <c r="P10" s="45">
        <f t="shared" si="4"/>
        <v>806.06</v>
      </c>
      <c r="Q10" s="30">
        <f t="shared" si="5"/>
        <v>1.4452459016395096</v>
      </c>
      <c r="R10" s="34"/>
      <c r="S10" s="32"/>
      <c r="T10" s="38">
        <v>190</v>
      </c>
    </row>
    <row r="11" spans="1:24" s="31" customFormat="1" ht="15.75" thickBot="1" x14ac:dyDescent="0.3">
      <c r="A11" s="46" t="s">
        <v>32</v>
      </c>
      <c r="B11" s="21">
        <f t="shared" ref="B11:N11" si="6">SUM(B7:B10)</f>
        <v>5982.3268052961757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5982.3268052961757</v>
      </c>
      <c r="G11" s="21">
        <f t="shared" si="6"/>
        <v>482.73254292265199</v>
      </c>
      <c r="H11" s="21">
        <f t="shared" si="6"/>
        <v>0</v>
      </c>
      <c r="I11" s="21">
        <f t="shared" si="6"/>
        <v>0</v>
      </c>
      <c r="J11" s="21">
        <f t="shared" si="6"/>
        <v>482.73254292265199</v>
      </c>
      <c r="K11" s="21">
        <f t="shared" si="6"/>
        <v>5499.5942623735236</v>
      </c>
      <c r="L11" s="27">
        <f t="shared" si="6"/>
        <v>5970.4123934856343</v>
      </c>
      <c r="M11" s="21">
        <f t="shared" si="6"/>
        <v>5487.2401638461151</v>
      </c>
      <c r="N11" s="21">
        <f t="shared" si="6"/>
        <v>482.73254292265199</v>
      </c>
      <c r="O11" s="21"/>
      <c r="P11" s="21">
        <f>SUM(P7:P10)</f>
        <v>5415.2000000000007</v>
      </c>
      <c r="Q11" s="47"/>
    </row>
    <row r="12" spans="1:24" ht="17.25" customHeight="1" thickBot="1" x14ac:dyDescent="0.3">
      <c r="A12" s="323" t="s">
        <v>33</v>
      </c>
      <c r="B12" s="324"/>
      <c r="C12" s="324"/>
      <c r="D12" s="324"/>
      <c r="E12" s="324"/>
      <c r="F12" s="324"/>
      <c r="G12" s="324"/>
      <c r="H12" s="325"/>
      <c r="I12" s="326" t="s">
        <v>34</v>
      </c>
      <c r="J12" s="327"/>
      <c r="K12" s="327"/>
      <c r="L12" s="328"/>
      <c r="M12" s="329" t="s">
        <v>35</v>
      </c>
      <c r="N12" s="330"/>
      <c r="O12" s="330"/>
      <c r="P12" s="331"/>
      <c r="Q12" s="48"/>
      <c r="R12" s="31"/>
    </row>
    <row r="13" spans="1:24" ht="15.75" thickBot="1" x14ac:dyDescent="0.3">
      <c r="A13" s="319" t="s">
        <v>36</v>
      </c>
      <c r="B13" s="320"/>
      <c r="C13" s="49" t="s">
        <v>37</v>
      </c>
      <c r="D13" s="49" t="s">
        <v>16</v>
      </c>
      <c r="E13" s="49" t="s">
        <v>38</v>
      </c>
      <c r="F13" s="49" t="s">
        <v>39</v>
      </c>
      <c r="G13" s="49" t="s">
        <v>40</v>
      </c>
      <c r="H13" s="50" t="s">
        <v>41</v>
      </c>
      <c r="I13" s="321" t="s">
        <v>42</v>
      </c>
      <c r="J13" s="322"/>
      <c r="K13" s="52" t="s">
        <v>43</v>
      </c>
      <c r="L13" s="51" t="s">
        <v>44</v>
      </c>
      <c r="M13" s="309" t="s">
        <v>45</v>
      </c>
      <c r="N13" s="310"/>
      <c r="O13" s="53" t="s">
        <v>46</v>
      </c>
      <c r="P13" s="54" t="s">
        <v>40</v>
      </c>
      <c r="Q13" s="48"/>
    </row>
    <row r="14" spans="1:24" ht="15.75" thickBot="1" x14ac:dyDescent="0.3">
      <c r="A14" s="286" t="s">
        <v>47</v>
      </c>
      <c r="B14" s="287"/>
      <c r="C14" s="57" t="s">
        <v>48</v>
      </c>
      <c r="D14" s="58" t="s">
        <v>49</v>
      </c>
      <c r="E14" s="59"/>
      <c r="F14" s="60">
        <v>0.45</v>
      </c>
      <c r="G14" s="61">
        <f t="shared" ref="G14:G30" si="7">+E14*F14</f>
        <v>0</v>
      </c>
      <c r="H14" s="62"/>
      <c r="I14" s="315" t="s">
        <v>50</v>
      </c>
      <c r="J14" s="316"/>
      <c r="K14" s="63"/>
      <c r="L14" s="63"/>
      <c r="M14" s="309" t="s">
        <v>51</v>
      </c>
      <c r="N14" s="310"/>
      <c r="O14" s="64">
        <f>+G11</f>
        <v>482.73254292265199</v>
      </c>
      <c r="P14" s="65">
        <f>+P11</f>
        <v>5415.2000000000007</v>
      </c>
      <c r="Q14" s="48"/>
    </row>
    <row r="15" spans="1:24" ht="15.75" thickBot="1" x14ac:dyDescent="0.3">
      <c r="A15" s="286" t="s">
        <v>52</v>
      </c>
      <c r="B15" s="287"/>
      <c r="C15" s="57" t="s">
        <v>48</v>
      </c>
      <c r="D15" s="58" t="s">
        <v>53</v>
      </c>
      <c r="E15" s="59">
        <v>20</v>
      </c>
      <c r="F15" s="60">
        <v>0.2</v>
      </c>
      <c r="G15" s="61">
        <f t="shared" si="7"/>
        <v>4</v>
      </c>
      <c r="H15" s="62" t="s">
        <v>151</v>
      </c>
      <c r="I15" s="317" t="s">
        <v>54</v>
      </c>
      <c r="J15" s="318"/>
      <c r="K15" s="66"/>
      <c r="L15" s="66"/>
      <c r="M15" s="309" t="s">
        <v>55</v>
      </c>
      <c r="N15" s="310"/>
      <c r="O15" s="67" t="s">
        <v>56</v>
      </c>
      <c r="P15" s="65">
        <f>+B38</f>
        <v>1575.28</v>
      </c>
      <c r="Q15" s="48">
        <f>+Q7/60</f>
        <v>0</v>
      </c>
    </row>
    <row r="16" spans="1:24" ht="15.75" customHeight="1" thickBot="1" x14ac:dyDescent="0.3">
      <c r="A16" s="286" t="s">
        <v>57</v>
      </c>
      <c r="B16" s="287"/>
      <c r="C16" s="57" t="s">
        <v>48</v>
      </c>
      <c r="D16" s="58" t="s">
        <v>58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55</v>
      </c>
      <c r="N16" s="310"/>
      <c r="O16" s="67" t="s">
        <v>27</v>
      </c>
      <c r="P16" s="65">
        <f>+C38</f>
        <v>406.52</v>
      </c>
      <c r="Q16" s="48"/>
    </row>
    <row r="17" spans="1:19" ht="15.75" customHeight="1" thickBot="1" x14ac:dyDescent="0.3">
      <c r="A17" s="286" t="s">
        <v>57</v>
      </c>
      <c r="B17" s="287"/>
      <c r="C17" s="57" t="s">
        <v>48</v>
      </c>
      <c r="D17" s="58" t="s">
        <v>59</v>
      </c>
      <c r="E17" s="68"/>
      <c r="F17" s="60">
        <v>0.2</v>
      </c>
      <c r="G17" s="61">
        <f t="shared" si="7"/>
        <v>0</v>
      </c>
      <c r="H17" s="62"/>
      <c r="I17" s="311" t="s">
        <v>60</v>
      </c>
      <c r="J17" s="312"/>
      <c r="K17" s="313" t="s">
        <v>61</v>
      </c>
      <c r="L17" s="314"/>
      <c r="M17" s="288" t="s">
        <v>62</v>
      </c>
      <c r="N17" s="289"/>
      <c r="O17" s="290"/>
      <c r="P17" s="69">
        <v>0.30000000000063665</v>
      </c>
    </row>
    <row r="18" spans="1:19" ht="15.75" customHeight="1" thickBot="1" x14ac:dyDescent="0.3">
      <c r="A18" s="286" t="s">
        <v>57</v>
      </c>
      <c r="B18" s="287"/>
      <c r="C18" s="58" t="s">
        <v>48</v>
      </c>
      <c r="D18" s="58" t="s">
        <v>49</v>
      </c>
      <c r="E18" s="59"/>
      <c r="F18" s="60">
        <v>0.2</v>
      </c>
      <c r="G18" s="61">
        <f t="shared" si="7"/>
        <v>0</v>
      </c>
      <c r="H18" s="71"/>
      <c r="I18" s="296" t="s">
        <v>63</v>
      </c>
      <c r="J18" s="297"/>
      <c r="K18" s="301" t="s">
        <v>64</v>
      </c>
      <c r="L18" s="302"/>
      <c r="M18" s="289"/>
      <c r="N18" s="289"/>
      <c r="O18" s="290"/>
      <c r="P18" s="69"/>
    </row>
    <row r="19" spans="1:19" ht="15" customHeight="1" x14ac:dyDescent="0.25">
      <c r="A19" s="286" t="s">
        <v>65</v>
      </c>
      <c r="B19" s="287"/>
      <c r="C19" s="58" t="s">
        <v>48</v>
      </c>
      <c r="D19" s="58" t="s">
        <v>49</v>
      </c>
      <c r="E19" s="68"/>
      <c r="F19" s="60">
        <v>0.2</v>
      </c>
      <c r="G19" s="61">
        <f t="shared" si="7"/>
        <v>0</v>
      </c>
      <c r="H19" s="62"/>
      <c r="I19" s="72" t="s">
        <v>66</v>
      </c>
      <c r="J19" s="73">
        <f>+'[1]03'!J25</f>
        <v>4101.5004099999996</v>
      </c>
      <c r="K19" s="72" t="s">
        <v>66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25">
      <c r="A20" s="286" t="s">
        <v>65</v>
      </c>
      <c r="B20" s="287"/>
      <c r="C20" s="58" t="s">
        <v>48</v>
      </c>
      <c r="D20" s="58" t="s">
        <v>53</v>
      </c>
      <c r="E20" s="59"/>
      <c r="F20" s="60">
        <v>0.2</v>
      </c>
      <c r="G20" s="61">
        <f t="shared" si="7"/>
        <v>0</v>
      </c>
      <c r="H20" s="62"/>
      <c r="I20" s="74" t="s">
        <v>67</v>
      </c>
      <c r="J20" s="75"/>
      <c r="K20" s="76" t="s">
        <v>67</v>
      </c>
      <c r="L20" s="73">
        <f>+E24*(O10-F24)+E25*(O8-F25)+E26*(O9-F26)+E27*(O7-F27)</f>
        <v>0</v>
      </c>
      <c r="M20" s="288" t="s">
        <v>68</v>
      </c>
      <c r="N20" s="289"/>
      <c r="O20" s="290"/>
      <c r="P20" s="77">
        <f>+L20</f>
        <v>0</v>
      </c>
    </row>
    <row r="21" spans="1:19" ht="15" customHeight="1" x14ac:dyDescent="0.25">
      <c r="A21" s="286" t="s">
        <v>69</v>
      </c>
      <c r="B21" s="287"/>
      <c r="C21" s="58" t="s">
        <v>48</v>
      </c>
      <c r="D21" s="58" t="s">
        <v>49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70</v>
      </c>
      <c r="L21" s="73"/>
      <c r="M21" s="288" t="s">
        <v>71</v>
      </c>
      <c r="N21" s="289"/>
      <c r="O21" s="290"/>
      <c r="P21" s="77">
        <f>+G31</f>
        <v>4</v>
      </c>
    </row>
    <row r="22" spans="1:19" ht="15" customHeight="1" x14ac:dyDescent="0.25">
      <c r="A22" s="286" t="s">
        <v>72</v>
      </c>
      <c r="B22" s="287"/>
      <c r="C22" s="58" t="s">
        <v>48</v>
      </c>
      <c r="D22" s="58" t="s">
        <v>49</v>
      </c>
      <c r="E22" s="59"/>
      <c r="F22" s="60">
        <v>0.2</v>
      </c>
      <c r="G22" s="61">
        <f t="shared" si="7"/>
        <v>0</v>
      </c>
      <c r="H22" s="71"/>
      <c r="I22" s="74" t="s">
        <v>73</v>
      </c>
      <c r="J22" s="75"/>
      <c r="K22" s="76" t="s">
        <v>73</v>
      </c>
      <c r="L22" s="78"/>
      <c r="M22" s="288" t="s">
        <v>74</v>
      </c>
      <c r="N22" s="289"/>
      <c r="O22" s="290"/>
      <c r="P22" s="77">
        <f>+J37+J20+J26+J31+J32</f>
        <v>0</v>
      </c>
    </row>
    <row r="23" spans="1:19" ht="15" customHeight="1" thickBot="1" x14ac:dyDescent="0.3">
      <c r="A23" s="286" t="s">
        <v>75</v>
      </c>
      <c r="B23" s="287"/>
      <c r="C23" s="58" t="s">
        <v>48</v>
      </c>
      <c r="D23" s="58" t="s">
        <v>49</v>
      </c>
      <c r="E23" s="59"/>
      <c r="F23" s="60">
        <v>0.2</v>
      </c>
      <c r="G23" s="61">
        <f t="shared" si="7"/>
        <v>0</v>
      </c>
      <c r="H23" s="71"/>
      <c r="I23" s="79" t="s">
        <v>76</v>
      </c>
      <c r="J23" s="80">
        <f>+J19+J20-J22</f>
        <v>4101.5004099999996</v>
      </c>
      <c r="K23" s="81" t="s">
        <v>76</v>
      </c>
      <c r="L23" s="82">
        <f>+L19-L20+L22+L21</f>
        <v>0</v>
      </c>
      <c r="M23" s="294" t="s">
        <v>77</v>
      </c>
      <c r="N23" s="295"/>
      <c r="O23" s="83"/>
      <c r="P23" s="84">
        <f>P14-SUM(P15:P22)</f>
        <v>3429.1000000000004</v>
      </c>
      <c r="Q23" s="48"/>
    </row>
    <row r="24" spans="1:19" ht="15" customHeight="1" thickBot="1" x14ac:dyDescent="0.3">
      <c r="A24" s="286" t="s">
        <v>78</v>
      </c>
      <c r="B24" s="287"/>
      <c r="C24" s="58" t="s">
        <v>48</v>
      </c>
      <c r="D24" s="58" t="s">
        <v>49</v>
      </c>
      <c r="E24" s="59"/>
      <c r="F24" s="60">
        <v>0</v>
      </c>
      <c r="G24" s="61">
        <f t="shared" si="7"/>
        <v>0</v>
      </c>
      <c r="H24" s="71"/>
      <c r="I24" s="296" t="s">
        <v>79</v>
      </c>
      <c r="J24" s="297"/>
      <c r="K24" s="298" t="s">
        <v>80</v>
      </c>
      <c r="L24" s="299"/>
      <c r="M24" s="299"/>
      <c r="N24" s="299"/>
      <c r="O24" s="299"/>
      <c r="P24" s="300"/>
      <c r="Q24" s="85"/>
    </row>
    <row r="25" spans="1:19" ht="15.75" customHeight="1" x14ac:dyDescent="0.25">
      <c r="A25" s="286" t="s">
        <v>78</v>
      </c>
      <c r="B25" s="287"/>
      <c r="C25" s="58" t="s">
        <v>48</v>
      </c>
      <c r="D25" s="58" t="s">
        <v>58</v>
      </c>
      <c r="E25" s="59"/>
      <c r="F25" s="60">
        <v>0</v>
      </c>
      <c r="G25" s="61">
        <f t="shared" si="7"/>
        <v>0</v>
      </c>
      <c r="H25" s="71"/>
      <c r="I25" s="72" t="s">
        <v>66</v>
      </c>
      <c r="J25" s="86">
        <f>+'[3]02'!J30</f>
        <v>2860.0556350000002</v>
      </c>
      <c r="K25" s="87" t="s">
        <v>81</v>
      </c>
      <c r="L25" s="53" t="s">
        <v>82</v>
      </c>
      <c r="M25" s="88" t="s">
        <v>83</v>
      </c>
      <c r="N25" s="88" t="s">
        <v>84</v>
      </c>
      <c r="O25" s="89" t="s">
        <v>85</v>
      </c>
      <c r="P25" s="90" t="s">
        <v>86</v>
      </c>
      <c r="Q25" s="3"/>
    </row>
    <row r="26" spans="1:19" x14ac:dyDescent="0.25">
      <c r="A26" s="286" t="s">
        <v>78</v>
      </c>
      <c r="B26" s="287"/>
      <c r="C26" s="58" t="s">
        <v>48</v>
      </c>
      <c r="D26" s="58" t="s">
        <v>59</v>
      </c>
      <c r="E26" s="59"/>
      <c r="F26" s="60">
        <v>0</v>
      </c>
      <c r="G26" s="61">
        <f t="shared" si="7"/>
        <v>0</v>
      </c>
      <c r="H26" s="71"/>
      <c r="I26" s="74" t="s">
        <v>67</v>
      </c>
      <c r="J26" s="86"/>
      <c r="K26" s="91" t="s">
        <v>87</v>
      </c>
      <c r="L26" s="92">
        <f>+K42</f>
        <v>0</v>
      </c>
      <c r="M26" s="93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88</v>
      </c>
      <c r="S26" s="48">
        <f>+Q7*-1</f>
        <v>0</v>
      </c>
    </row>
    <row r="27" spans="1:19" x14ac:dyDescent="0.25">
      <c r="A27" s="55" t="s">
        <v>78</v>
      </c>
      <c r="B27" s="56"/>
      <c r="C27" s="58" t="s">
        <v>48</v>
      </c>
      <c r="D27" s="58" t="s">
        <v>27</v>
      </c>
      <c r="E27" s="59"/>
      <c r="F27" s="60">
        <v>0</v>
      </c>
      <c r="G27" s="61">
        <f t="shared" si="7"/>
        <v>0</v>
      </c>
      <c r="H27" s="62"/>
      <c r="I27" s="74" t="s">
        <v>73</v>
      </c>
      <c r="J27" s="86"/>
      <c r="K27" s="91" t="s">
        <v>27</v>
      </c>
      <c r="L27" s="92"/>
      <c r="M27" s="94"/>
      <c r="N27" s="94"/>
      <c r="O27" s="95" t="s">
        <v>89</v>
      </c>
      <c r="P27" s="98"/>
      <c r="Q27" s="97"/>
      <c r="S27" s="48" t="e">
        <f>+#REF!*-1</f>
        <v>#REF!</v>
      </c>
    </row>
    <row r="28" spans="1:19" ht="15.75" customHeight="1" thickBot="1" x14ac:dyDescent="0.3">
      <c r="A28" s="55" t="s">
        <v>90</v>
      </c>
      <c r="B28" s="56"/>
      <c r="C28" s="58" t="s">
        <v>48</v>
      </c>
      <c r="D28" s="58" t="s">
        <v>53</v>
      </c>
      <c r="E28" s="68"/>
      <c r="F28" s="60">
        <v>0.2</v>
      </c>
      <c r="G28" s="61">
        <f t="shared" si="7"/>
        <v>0</v>
      </c>
      <c r="H28" s="62"/>
      <c r="I28" s="99" t="s">
        <v>76</v>
      </c>
      <c r="J28" s="86">
        <f>+J25+J26-J27</f>
        <v>2860.0556350000002</v>
      </c>
      <c r="K28" s="91" t="s">
        <v>28</v>
      </c>
      <c r="L28" s="92"/>
      <c r="M28" s="94"/>
      <c r="N28" s="94"/>
      <c r="O28" s="95" t="s">
        <v>91</v>
      </c>
      <c r="P28" s="100">
        <f>13666.1/980</f>
        <v>13.945</v>
      </c>
      <c r="Q28" s="97">
        <f>+O8-P28</f>
        <v>1.8849999999999998</v>
      </c>
      <c r="S28" s="48">
        <f>+Q8*-1</f>
        <v>8.7744788376498946</v>
      </c>
    </row>
    <row r="29" spans="1:19" ht="15" customHeight="1" thickBot="1" x14ac:dyDescent="0.3">
      <c r="A29" s="55" t="s">
        <v>92</v>
      </c>
      <c r="B29" s="56"/>
      <c r="C29" s="58" t="s">
        <v>48</v>
      </c>
      <c r="D29" s="58" t="s">
        <v>49</v>
      </c>
      <c r="E29" s="68"/>
      <c r="F29" s="60">
        <v>0.2</v>
      </c>
      <c r="G29" s="61">
        <f t="shared" si="7"/>
        <v>0</v>
      </c>
      <c r="H29" s="62"/>
      <c r="I29" s="296" t="s">
        <v>92</v>
      </c>
      <c r="J29" s="297"/>
      <c r="K29" s="101" t="s">
        <v>29</v>
      </c>
      <c r="L29" s="92"/>
      <c r="M29" s="94"/>
      <c r="N29" s="94"/>
      <c r="O29" s="95" t="s">
        <v>94</v>
      </c>
      <c r="P29" s="100">
        <f>6258.25/500</f>
        <v>12.516500000000001</v>
      </c>
      <c r="Q29" s="97">
        <f>+O9-P29</f>
        <v>2.3635000000000002</v>
      </c>
      <c r="S29" s="48">
        <f>+Q9*-1</f>
        <v>5.0248655913978837</v>
      </c>
    </row>
    <row r="30" spans="1:19" ht="15" customHeight="1" x14ac:dyDescent="0.25">
      <c r="A30" s="55" t="s">
        <v>93</v>
      </c>
      <c r="B30" s="56"/>
      <c r="C30" s="58" t="s">
        <v>48</v>
      </c>
      <c r="D30" s="58" t="s">
        <v>49</v>
      </c>
      <c r="E30" s="68"/>
      <c r="F30" s="60">
        <v>0.2</v>
      </c>
      <c r="G30" s="61">
        <f t="shared" si="7"/>
        <v>0</v>
      </c>
      <c r="H30" s="62"/>
      <c r="I30" s="72" t="s">
        <v>76</v>
      </c>
      <c r="J30" s="75">
        <f>+'08-03-2025'!J34</f>
        <v>-315</v>
      </c>
      <c r="K30" s="101" t="s">
        <v>30</v>
      </c>
      <c r="L30" s="92"/>
      <c r="M30" s="94"/>
      <c r="N30" s="94"/>
      <c r="O30" s="95" t="s">
        <v>94</v>
      </c>
      <c r="P30" s="100"/>
      <c r="Q30" s="97"/>
      <c r="S30" s="48" t="e">
        <f>+#REF!*-1</f>
        <v>#REF!</v>
      </c>
    </row>
    <row r="31" spans="1:19" ht="15.75" thickBot="1" x14ac:dyDescent="0.3">
      <c r="A31" s="286"/>
      <c r="B31" s="287"/>
      <c r="C31" s="58"/>
      <c r="D31" s="58"/>
      <c r="E31" s="102"/>
      <c r="F31" s="60" t="s">
        <v>95</v>
      </c>
      <c r="G31" s="103">
        <f>SUM(G14:G30)</f>
        <v>4</v>
      </c>
      <c r="H31" s="104"/>
      <c r="I31" s="74" t="s">
        <v>96</v>
      </c>
      <c r="J31" s="105"/>
      <c r="K31" s="106" t="s">
        <v>31</v>
      </c>
      <c r="L31" s="92"/>
      <c r="M31" s="94"/>
      <c r="N31" s="94"/>
      <c r="O31" s="95" t="s">
        <v>94</v>
      </c>
      <c r="P31" s="100">
        <f>13635.35/990</f>
        <v>13.773080808080808</v>
      </c>
      <c r="Q31" s="97">
        <f>+O10-P31</f>
        <v>1.4769191919191922</v>
      </c>
      <c r="R31" s="3" t="s">
        <v>97</v>
      </c>
      <c r="S31" s="48">
        <f t="shared" ref="S31" si="8">+Q10*-1</f>
        <v>-1.4452459016395096</v>
      </c>
    </row>
    <row r="32" spans="1:19" ht="15.75" thickBot="1" x14ac:dyDescent="0.3">
      <c r="A32" s="266"/>
      <c r="B32" s="267"/>
      <c r="C32" s="267"/>
      <c r="D32" s="268"/>
      <c r="E32" s="268"/>
      <c r="F32" s="268"/>
      <c r="G32" s="268"/>
      <c r="H32" s="269"/>
      <c r="I32" s="74" t="s">
        <v>98</v>
      </c>
      <c r="J32" s="105"/>
      <c r="K32" s="107"/>
      <c r="L32" s="108"/>
      <c r="M32" s="94"/>
      <c r="N32" s="94"/>
      <c r="O32" s="95" t="s">
        <v>91</v>
      </c>
      <c r="P32" s="96"/>
      <c r="Q32" s="97"/>
      <c r="R32" s="109"/>
    </row>
    <row r="33" spans="1:18" ht="15.75" thickBot="1" x14ac:dyDescent="0.3">
      <c r="A33" s="291" t="s">
        <v>99</v>
      </c>
      <c r="B33" s="292"/>
      <c r="C33" s="293"/>
      <c r="D33" s="110" t="s">
        <v>100</v>
      </c>
      <c r="E33" s="111" t="s">
        <v>46</v>
      </c>
      <c r="F33" s="111" t="s">
        <v>101</v>
      </c>
      <c r="G33" s="111" t="s">
        <v>102</v>
      </c>
      <c r="H33" s="112" t="s">
        <v>103</v>
      </c>
      <c r="I33" s="74" t="s">
        <v>73</v>
      </c>
      <c r="J33" s="113"/>
      <c r="K33" s="114" t="s">
        <v>104</v>
      </c>
      <c r="L33" s="115">
        <f>+O2</f>
        <v>45725</v>
      </c>
      <c r="M33" s="273" t="s">
        <v>105</v>
      </c>
      <c r="N33" s="274"/>
      <c r="O33" s="274"/>
      <c r="P33" s="275"/>
      <c r="Q33" s="116"/>
      <c r="R33" s="109"/>
    </row>
    <row r="34" spans="1:18" ht="15.75" customHeight="1" thickBot="1" x14ac:dyDescent="0.3">
      <c r="B34" s="3" t="s">
        <v>56</v>
      </c>
      <c r="C34" s="117" t="s">
        <v>27</v>
      </c>
      <c r="D34" s="118" t="s">
        <v>106</v>
      </c>
      <c r="E34" s="119"/>
      <c r="F34" s="120">
        <f>+C42</f>
        <v>15.83</v>
      </c>
      <c r="G34" s="121">
        <v>15.99</v>
      </c>
      <c r="H34" s="122">
        <f>+E34*(F34-G34)</f>
        <v>0</v>
      </c>
      <c r="I34" s="123" t="s">
        <v>76</v>
      </c>
      <c r="J34" s="124">
        <f>+J30-J31-J32+J33</f>
        <v>-315</v>
      </c>
      <c r="K34" s="118" t="s">
        <v>56</v>
      </c>
      <c r="L34" s="125">
        <v>1954.6</v>
      </c>
      <c r="M34" s="276"/>
      <c r="N34" s="276"/>
      <c r="O34" s="276"/>
      <c r="P34" s="277"/>
      <c r="Q34" s="116"/>
      <c r="R34" s="109"/>
    </row>
    <row r="35" spans="1:18" ht="15.75" customHeight="1" thickBot="1" x14ac:dyDescent="0.3">
      <c r="A35" s="126" t="s">
        <v>107</v>
      </c>
      <c r="B35" s="127">
        <v>1125.98</v>
      </c>
      <c r="C35" s="127"/>
      <c r="D35" s="128" t="s">
        <v>108</v>
      </c>
      <c r="E35" s="129"/>
      <c r="F35" s="130">
        <f>+C43</f>
        <v>14.88</v>
      </c>
      <c r="G35" s="131">
        <v>15.08</v>
      </c>
      <c r="H35" s="132">
        <f>+E35*(F35-G35)</f>
        <v>0</v>
      </c>
      <c r="I35" s="280" t="s">
        <v>109</v>
      </c>
      <c r="J35" s="280"/>
      <c r="K35" s="133" t="s">
        <v>27</v>
      </c>
      <c r="L35" s="134">
        <v>1474.5</v>
      </c>
      <c r="M35" s="278"/>
      <c r="N35" s="278"/>
      <c r="O35" s="278"/>
      <c r="P35" s="279"/>
      <c r="Q35" s="116"/>
      <c r="R35" s="109"/>
    </row>
    <row r="36" spans="1:18" ht="15.75" customHeight="1" thickBot="1" x14ac:dyDescent="0.3">
      <c r="A36" s="135" t="s">
        <v>110</v>
      </c>
      <c r="B36" s="136">
        <v>449.3</v>
      </c>
      <c r="C36" s="136">
        <v>406.52</v>
      </c>
      <c r="D36" s="128" t="s">
        <v>30</v>
      </c>
      <c r="E36" s="129"/>
      <c r="F36" s="130"/>
      <c r="G36" s="131">
        <v>0</v>
      </c>
      <c r="H36" s="132">
        <f>+E36*(F36-G36)</f>
        <v>0</v>
      </c>
      <c r="I36" s="137" t="s">
        <v>66</v>
      </c>
      <c r="J36" s="138">
        <f>+'03-03-2025'!J39</f>
        <v>274.83</v>
      </c>
      <c r="K36" s="128" t="s">
        <v>111</v>
      </c>
      <c r="L36" s="139"/>
      <c r="M36" s="281" t="s">
        <v>112</v>
      </c>
      <c r="N36" s="281"/>
      <c r="O36" s="140">
        <f>+L33</f>
        <v>45725</v>
      </c>
      <c r="P36" s="140"/>
      <c r="Q36" s="116"/>
      <c r="R36" s="109"/>
    </row>
    <row r="37" spans="1:18" ht="16.5" thickBot="1" x14ac:dyDescent="0.3">
      <c r="A37" s="135"/>
      <c r="B37" s="141"/>
      <c r="C37" s="142"/>
      <c r="D37" s="128" t="s">
        <v>31</v>
      </c>
      <c r="E37" s="129"/>
      <c r="F37" s="130">
        <f>+C45</f>
        <v>15.25</v>
      </c>
      <c r="G37" s="131">
        <v>14.18</v>
      </c>
      <c r="H37" s="132">
        <f>+E37*(F37-G37)</f>
        <v>0</v>
      </c>
      <c r="I37" s="76" t="s">
        <v>67</v>
      </c>
      <c r="J37" s="143"/>
      <c r="K37" s="144" t="s">
        <v>113</v>
      </c>
      <c r="L37" s="145"/>
      <c r="M37" s="146" t="s">
        <v>56</v>
      </c>
      <c r="N37" s="147" t="s">
        <v>114</v>
      </c>
      <c r="O37" s="148">
        <f>+L34</f>
        <v>1954.6</v>
      </c>
      <c r="P37" s="149"/>
      <c r="Q37" s="150"/>
      <c r="R37" s="109"/>
    </row>
    <row r="38" spans="1:18" ht="16.5" thickBot="1" x14ac:dyDescent="0.3">
      <c r="A38" s="151" t="s">
        <v>115</v>
      </c>
      <c r="B38" s="152">
        <f>SUM(B35:B37)</f>
        <v>1575.28</v>
      </c>
      <c r="C38" s="153">
        <f>SUM(C35:C37)</f>
        <v>406.52</v>
      </c>
      <c r="D38" s="144" t="s">
        <v>27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73</v>
      </c>
      <c r="J38" s="158"/>
      <c r="K38" s="159" t="s">
        <v>95</v>
      </c>
      <c r="L38" s="160">
        <f>SUM(L34:L37)</f>
        <v>3429.1</v>
      </c>
      <c r="M38" s="161" t="s">
        <v>27</v>
      </c>
      <c r="N38" s="162" t="s">
        <v>116</v>
      </c>
      <c r="O38" s="163">
        <f>+L35</f>
        <v>1474.5</v>
      </c>
      <c r="P38" s="164"/>
      <c r="Q38" s="150"/>
      <c r="R38" s="109"/>
    </row>
    <row r="39" spans="1:18" ht="24.75" thickTop="1" thickBot="1" x14ac:dyDescent="0.4">
      <c r="A39" s="165" t="s">
        <v>117</v>
      </c>
      <c r="B39" s="166">
        <f>SUM(B38:C38)</f>
        <v>1981.8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76</v>
      </c>
      <c r="J39" s="124">
        <f>+J36+J37-J38</f>
        <v>274.83</v>
      </c>
      <c r="K39" s="173" t="s">
        <v>118</v>
      </c>
      <c r="L39" s="174">
        <f>+P23-L38</f>
        <v>0</v>
      </c>
      <c r="M39" s="282" t="s">
        <v>95</v>
      </c>
      <c r="N39" s="283"/>
      <c r="O39" s="284">
        <f>SUM(O37:P38)</f>
        <v>3429.1</v>
      </c>
      <c r="P39" s="285"/>
      <c r="Q39" s="150"/>
      <c r="R39" s="109"/>
    </row>
    <row r="40" spans="1:18" ht="15.75" thickBot="1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.75" thickBot="1" x14ac:dyDescent="0.3">
      <c r="A41" s="178" t="s">
        <v>119</v>
      </c>
      <c r="B41" s="178" t="s">
        <v>120</v>
      </c>
      <c r="C41" s="178" t="s">
        <v>121</v>
      </c>
      <c r="D41" s="178" t="s">
        <v>122</v>
      </c>
      <c r="E41" s="179"/>
      <c r="F41" s="180"/>
      <c r="G41" s="183"/>
      <c r="H41" s="270" t="s">
        <v>123</v>
      </c>
      <c r="I41" s="271"/>
      <c r="J41" s="271"/>
      <c r="K41" s="271"/>
      <c r="L41" s="272"/>
      <c r="P41" s="181"/>
      <c r="Q41" s="150"/>
    </row>
    <row r="42" spans="1:18" ht="15.75" x14ac:dyDescent="0.25">
      <c r="A42" s="182" t="s">
        <v>28</v>
      </c>
      <c r="B42" s="183">
        <f>IF(D42&gt;"0",0,(D42/C42))</f>
        <v>72.363866077068849</v>
      </c>
      <c r="C42" s="184">
        <v>15.83</v>
      </c>
      <c r="D42" s="185">
        <v>1145.52</v>
      </c>
      <c r="E42" s="186"/>
      <c r="F42" s="186"/>
      <c r="G42" s="183"/>
      <c r="H42" s="187" t="s">
        <v>124</v>
      </c>
      <c r="I42" s="188"/>
      <c r="J42" s="189">
        <v>2.0185</v>
      </c>
      <c r="K42" s="190">
        <f>+I42/J42</f>
        <v>0</v>
      </c>
      <c r="L42" s="191" t="s">
        <v>125</v>
      </c>
      <c r="M42" s="192"/>
      <c r="N42" s="193" t="s">
        <v>2</v>
      </c>
      <c r="O42" s="194"/>
      <c r="Q42" s="3"/>
    </row>
    <row r="43" spans="1:18" ht="15.75" x14ac:dyDescent="0.25">
      <c r="A43" s="182" t="s">
        <v>29</v>
      </c>
      <c r="B43" s="183">
        <f>IF(D43&gt;"0",0,(D43/C43))</f>
        <v>106.34005376344085</v>
      </c>
      <c r="C43" s="184">
        <v>14.88</v>
      </c>
      <c r="D43" s="185">
        <v>1582.34</v>
      </c>
      <c r="E43" s="186"/>
      <c r="F43" s="186"/>
      <c r="G43" s="183"/>
      <c r="H43" s="195" t="s">
        <v>126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127</v>
      </c>
      <c r="M43" s="200"/>
      <c r="N43" s="193" t="s">
        <v>128</v>
      </c>
      <c r="O43" s="194"/>
      <c r="P43" s="201"/>
      <c r="Q43" s="3"/>
    </row>
    <row r="44" spans="1:18" ht="15.75" x14ac:dyDescent="0.25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75" x14ac:dyDescent="0.25">
      <c r="A45" s="182" t="s">
        <v>129</v>
      </c>
      <c r="B45" s="183">
        <f>IF(D45&gt;"0",0,(D45/C45))</f>
        <v>52.856393442622945</v>
      </c>
      <c r="C45" s="184">
        <v>15.25</v>
      </c>
      <c r="D45" s="185">
        <v>806.06</v>
      </c>
      <c r="E45" s="186"/>
      <c r="F45" s="186"/>
      <c r="G45" s="183"/>
      <c r="H45" s="206" t="s">
        <v>130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32</v>
      </c>
      <c r="N45" s="211" t="s">
        <v>131</v>
      </c>
      <c r="O45" s="3" t="s">
        <v>114</v>
      </c>
      <c r="P45" s="201"/>
      <c r="Q45" s="3"/>
      <c r="R45" s="201"/>
    </row>
    <row r="46" spans="1:18" ht="15.75" x14ac:dyDescent="0.25">
      <c r="A46" s="182" t="s">
        <v>27</v>
      </c>
      <c r="B46" s="183">
        <f>IF(D46&gt;"0",0,(D46/C46))</f>
        <v>251.17222963951934</v>
      </c>
      <c r="C46" s="184">
        <v>7.49</v>
      </c>
      <c r="D46" s="185">
        <v>1881.28</v>
      </c>
      <c r="E46" s="186"/>
      <c r="F46" s="186"/>
      <c r="G46" s="183"/>
      <c r="H46" s="262">
        <f>(L34+B38+P21+P22+P20+L36)-SUM(D42:D45)+(P18+P19)</f>
        <v>-3.9999999999508873E-2</v>
      </c>
      <c r="I46" s="203" t="s">
        <v>132</v>
      </c>
      <c r="J46" s="196" t="s">
        <v>133</v>
      </c>
      <c r="K46" s="214">
        <v>2.1061999999999999</v>
      </c>
      <c r="L46" s="215"/>
      <c r="M46" s="200"/>
      <c r="N46" s="3" t="s">
        <v>134</v>
      </c>
      <c r="O46" s="194"/>
      <c r="P46" s="201"/>
      <c r="Q46" s="3"/>
      <c r="R46" s="201"/>
    </row>
    <row r="47" spans="1:18" ht="16.5" customHeight="1" thickBot="1" x14ac:dyDescent="0.3">
      <c r="A47" s="180"/>
      <c r="B47" s="216">
        <f>SUM(B42:B46)</f>
        <v>482.73254292265199</v>
      </c>
      <c r="C47" s="216"/>
      <c r="D47" s="217">
        <f>SUM(D42:D46)</f>
        <v>5415.2</v>
      </c>
      <c r="E47" s="217">
        <v>5415.2</v>
      </c>
      <c r="F47" s="186"/>
      <c r="G47" s="183"/>
      <c r="H47" s="263">
        <f>(C36+L35+L37)-D46</f>
        <v>-0.25999999999999091</v>
      </c>
      <c r="I47" s="220" t="s">
        <v>88</v>
      </c>
      <c r="J47" s="221" t="s">
        <v>135</v>
      </c>
      <c r="K47" s="222">
        <v>2.0185</v>
      </c>
      <c r="L47" s="223" t="e">
        <f>+K45-K43</f>
        <v>#DIV/0!</v>
      </c>
      <c r="M47" s="200"/>
      <c r="N47" s="205" t="s">
        <v>136</v>
      </c>
      <c r="O47" s="194"/>
      <c r="P47" s="201"/>
      <c r="Q47" s="3"/>
      <c r="R47" s="201"/>
    </row>
    <row r="48" spans="1:18" ht="16.5" thickTop="1" x14ac:dyDescent="0.2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25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75" x14ac:dyDescent="0.25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75" x14ac:dyDescent="0.25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75" x14ac:dyDescent="0.25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75" x14ac:dyDescent="0.25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75" x14ac:dyDescent="0.25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75" x14ac:dyDescent="0.25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75" x14ac:dyDescent="0.25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75" x14ac:dyDescent="0.25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75" x14ac:dyDescent="0.25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75" x14ac:dyDescent="0.25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75" x14ac:dyDescent="0.25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75" x14ac:dyDescent="0.25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75" x14ac:dyDescent="0.25">
      <c r="A62" s="244"/>
      <c r="D62" s="229"/>
      <c r="F62" s="250"/>
      <c r="G62" s="246"/>
      <c r="N62" s="109"/>
      <c r="O62" s="109"/>
      <c r="P62" s="109"/>
      <c r="Q62" s="3"/>
    </row>
    <row r="63" spans="1:17" x14ac:dyDescent="0.25">
      <c r="A63" s="238"/>
      <c r="D63" s="109"/>
      <c r="F63" s="249"/>
      <c r="G63" s="246"/>
      <c r="N63" s="109"/>
      <c r="O63" s="109"/>
      <c r="P63" s="109"/>
      <c r="Q63" s="3"/>
    </row>
    <row r="64" spans="1:17" x14ac:dyDescent="0.25">
      <c r="A64" s="238"/>
      <c r="F64" s="249"/>
      <c r="G64" s="246"/>
      <c r="N64" s="109"/>
      <c r="O64" s="109"/>
      <c r="P64" s="109"/>
      <c r="Q64" s="3"/>
    </row>
    <row r="65" spans="1:20" x14ac:dyDescent="0.25">
      <c r="A65" s="238">
        <v>84</v>
      </c>
      <c r="F65" s="251"/>
      <c r="G65" s="246"/>
      <c r="N65" s="109"/>
      <c r="Q65" s="3"/>
    </row>
    <row r="66" spans="1:20" x14ac:dyDescent="0.25">
      <c r="A66" s="244" t="s">
        <v>129</v>
      </c>
      <c r="F66" s="249"/>
      <c r="G66" s="246"/>
      <c r="N66" s="109"/>
      <c r="Q66" s="3"/>
    </row>
    <row r="67" spans="1:20" x14ac:dyDescent="0.25">
      <c r="A67" s="85"/>
      <c r="F67" s="247"/>
      <c r="G67" s="246"/>
      <c r="N67" s="109"/>
      <c r="Q67" s="3"/>
    </row>
    <row r="68" spans="1:20" x14ac:dyDescent="0.25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25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25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25">
      <c r="A71" s="244" t="s">
        <v>129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25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25">
      <c r="A73" s="244" t="s">
        <v>27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25">
      <c r="A74" s="244" t="s">
        <v>27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25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25">
      <c r="A76" s="244" t="s">
        <v>27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25">
      <c r="A77" s="244" t="s">
        <v>27</v>
      </c>
      <c r="F77" s="255"/>
      <c r="G77" s="254"/>
      <c r="N77" s="109"/>
      <c r="O77" s="109"/>
      <c r="P77" s="109"/>
      <c r="Q77" s="109"/>
      <c r="R77" s="200"/>
    </row>
    <row r="78" spans="1:20" x14ac:dyDescent="0.25">
      <c r="A78" s="85"/>
      <c r="F78" s="255"/>
      <c r="G78" s="228"/>
      <c r="N78" s="109"/>
      <c r="O78" s="109"/>
      <c r="P78" s="109"/>
      <c r="Q78" s="109"/>
      <c r="R78" s="200"/>
    </row>
    <row r="79" spans="1:20" x14ac:dyDescent="0.25">
      <c r="A79" s="85"/>
      <c r="F79" s="239"/>
      <c r="G79" s="228"/>
      <c r="N79" s="109"/>
      <c r="O79" s="109"/>
      <c r="P79" s="109"/>
      <c r="Q79" s="109"/>
      <c r="R79" s="200"/>
    </row>
    <row r="80" spans="1:20" x14ac:dyDescent="0.25">
      <c r="A80" s="85"/>
      <c r="F80" s="241"/>
      <c r="G80" s="228"/>
      <c r="N80" s="109"/>
      <c r="O80" s="109"/>
      <c r="P80" s="109"/>
      <c r="Q80" s="109"/>
      <c r="R80" s="200"/>
    </row>
    <row r="81" spans="1:19" x14ac:dyDescent="0.25">
      <c r="A81" s="85"/>
      <c r="F81" s="241"/>
      <c r="G81" s="228"/>
      <c r="N81" s="109"/>
      <c r="O81" s="109"/>
      <c r="P81" s="109"/>
      <c r="Q81" s="109"/>
      <c r="R81" s="200"/>
    </row>
    <row r="82" spans="1:19" x14ac:dyDescent="0.25">
      <c r="A82" s="85"/>
      <c r="F82" s="228"/>
      <c r="G82" s="228"/>
      <c r="N82" s="109"/>
      <c r="O82" s="109"/>
      <c r="P82" s="109"/>
      <c r="Q82" s="109"/>
    </row>
    <row r="83" spans="1:19" x14ac:dyDescent="0.25">
      <c r="N83" s="109"/>
      <c r="O83" s="109"/>
      <c r="P83" s="109"/>
      <c r="Q83" s="109"/>
    </row>
    <row r="84" spans="1:19" x14ac:dyDescent="0.25">
      <c r="N84" s="109"/>
      <c r="O84" s="257"/>
      <c r="P84" s="257"/>
      <c r="Q84" s="109"/>
    </row>
    <row r="85" spans="1:19" x14ac:dyDescent="0.25">
      <c r="N85" s="109"/>
      <c r="O85" s="257"/>
      <c r="P85" s="257"/>
      <c r="Q85" s="109"/>
    </row>
    <row r="86" spans="1:19" x14ac:dyDescent="0.25">
      <c r="N86" s="109"/>
      <c r="O86" s="257"/>
      <c r="P86" s="257"/>
      <c r="Q86" s="109"/>
    </row>
    <row r="87" spans="1:19" x14ac:dyDescent="0.25">
      <c r="N87" s="109"/>
      <c r="O87" s="257"/>
      <c r="P87" s="257"/>
      <c r="Q87" s="109"/>
    </row>
    <row r="88" spans="1:19" x14ac:dyDescent="0.25">
      <c r="N88" s="109"/>
      <c r="O88" s="257"/>
      <c r="P88" s="257"/>
      <c r="Q88" s="109"/>
    </row>
    <row r="89" spans="1:19" x14ac:dyDescent="0.25">
      <c r="N89" s="109"/>
      <c r="O89" s="257"/>
      <c r="P89" s="257"/>
      <c r="Q89" s="109"/>
      <c r="S89" s="256"/>
    </row>
    <row r="90" spans="1:19" x14ac:dyDescent="0.25">
      <c r="Q90" s="3"/>
    </row>
    <row r="91" spans="1:19" x14ac:dyDescent="0.25">
      <c r="Q91" s="3"/>
    </row>
    <row r="92" spans="1:19" x14ac:dyDescent="0.25">
      <c r="Q92" s="3"/>
    </row>
    <row r="93" spans="1:19" s="70" customFormat="1" x14ac:dyDescent="0.25">
      <c r="H93" s="3"/>
      <c r="I93" s="3"/>
      <c r="J93" s="3"/>
      <c r="K93" s="3"/>
      <c r="L93" s="3"/>
      <c r="M93" s="3"/>
    </row>
    <row r="94" spans="1:19" s="70" customFormat="1" x14ac:dyDescent="0.25">
      <c r="H94" s="3"/>
      <c r="I94" s="3"/>
      <c r="J94" s="3"/>
      <c r="K94" s="3"/>
      <c r="L94" s="3"/>
      <c r="M94" s="3"/>
    </row>
    <row r="95" spans="1:19" s="70" customFormat="1" x14ac:dyDescent="0.25">
      <c r="H95" s="3"/>
      <c r="I95" s="3"/>
      <c r="J95" s="3"/>
      <c r="K95" s="3"/>
      <c r="L95" s="3"/>
      <c r="M95" s="3"/>
    </row>
    <row r="96" spans="1:19" s="70" customFormat="1" x14ac:dyDescent="0.25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25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25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.75" thickBot="1" x14ac:dyDescent="0.3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25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25">
      <c r="N101" s="109"/>
      <c r="O101" s="257"/>
      <c r="P101" s="257"/>
      <c r="Q101" s="109"/>
    </row>
    <row r="102" spans="8:17" x14ac:dyDescent="0.25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25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25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25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25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25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25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25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25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25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25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.75" thickBot="1" x14ac:dyDescent="0.3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25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25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25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25">
      <c r="N117" s="109"/>
      <c r="O117" s="257"/>
    </row>
    <row r="118" spans="8:17" x14ac:dyDescent="0.25">
      <c r="N118" s="109"/>
      <c r="O118" s="257"/>
    </row>
    <row r="119" spans="8:17" x14ac:dyDescent="0.25">
      <c r="N119" s="109"/>
      <c r="O119" s="205"/>
    </row>
    <row r="120" spans="8:17" x14ac:dyDescent="0.25">
      <c r="N120" s="109"/>
    </row>
    <row r="121" spans="8:17" x14ac:dyDescent="0.25">
      <c r="N121" s="109"/>
    </row>
    <row r="122" spans="8:17" x14ac:dyDescent="0.25">
      <c r="N122" s="109"/>
    </row>
    <row r="123" spans="8:17" x14ac:dyDescent="0.25">
      <c r="N123" s="109"/>
    </row>
    <row r="124" spans="8:17" x14ac:dyDescent="0.25">
      <c r="N124" s="109"/>
    </row>
    <row r="125" spans="8:17" x14ac:dyDescent="0.25">
      <c r="N125" s="109"/>
    </row>
    <row r="126" spans="8:17" ht="15.75" thickBot="1" x14ac:dyDescent="0.3">
      <c r="N126" s="109"/>
      <c r="O126" s="261"/>
      <c r="P126" s="261"/>
    </row>
    <row r="127" spans="8:17" s="70" customFormat="1" x14ac:dyDescent="0.25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25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25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25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25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25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25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25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25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25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25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25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25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25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.75" thickBot="1" x14ac:dyDescent="0.3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31</vt:i4>
      </vt:variant>
    </vt:vector>
  </HeadingPairs>
  <TitlesOfParts>
    <vt:vector size="62" baseType="lpstr">
      <vt:lpstr>01-03-2025</vt:lpstr>
      <vt:lpstr>02-03-2025</vt:lpstr>
      <vt:lpstr>03-03-2025</vt:lpstr>
      <vt:lpstr>04-03-2025</vt:lpstr>
      <vt:lpstr>05-03-2025</vt:lpstr>
      <vt:lpstr>06-03-2025</vt:lpstr>
      <vt:lpstr>07-03-2025</vt:lpstr>
      <vt:lpstr>08-03-2025</vt:lpstr>
      <vt:lpstr>09-03-2025</vt:lpstr>
      <vt:lpstr>10-03-2025</vt:lpstr>
      <vt:lpstr>11-03-2025</vt:lpstr>
      <vt:lpstr>12-03-2025</vt:lpstr>
      <vt:lpstr>13-03-2025</vt:lpstr>
      <vt:lpstr>14-03-2025</vt:lpstr>
      <vt:lpstr>15-03-2025</vt:lpstr>
      <vt:lpstr>16-03-2025</vt:lpstr>
      <vt:lpstr>17-03-2025</vt:lpstr>
      <vt:lpstr>18-03-2025</vt:lpstr>
      <vt:lpstr>19-03-2025</vt:lpstr>
      <vt:lpstr>20-03-2025</vt:lpstr>
      <vt:lpstr>21-03-2025</vt:lpstr>
      <vt:lpstr>22-03-2025</vt:lpstr>
      <vt:lpstr>23-03-2025</vt:lpstr>
      <vt:lpstr>24-03-2025</vt:lpstr>
      <vt:lpstr>25-03-2025</vt:lpstr>
      <vt:lpstr>26-03-2025</vt:lpstr>
      <vt:lpstr>27-03-2025</vt:lpstr>
      <vt:lpstr>28-03-2025</vt:lpstr>
      <vt:lpstr>29-03-2025</vt:lpstr>
      <vt:lpstr>30-03-2025</vt:lpstr>
      <vt:lpstr>31-03-2025</vt:lpstr>
      <vt:lpstr>'01-03-2025'!Área_de_impresión</vt:lpstr>
      <vt:lpstr>'02-03-2025'!Área_de_impresión</vt:lpstr>
      <vt:lpstr>'03-03-2025'!Área_de_impresión</vt:lpstr>
      <vt:lpstr>'04-03-2025'!Área_de_impresión</vt:lpstr>
      <vt:lpstr>'05-03-2025'!Área_de_impresión</vt:lpstr>
      <vt:lpstr>'06-03-2025'!Área_de_impresión</vt:lpstr>
      <vt:lpstr>'07-03-2025'!Área_de_impresión</vt:lpstr>
      <vt:lpstr>'08-03-2025'!Área_de_impresión</vt:lpstr>
      <vt:lpstr>'09-03-2025'!Área_de_impresión</vt:lpstr>
      <vt:lpstr>'10-03-2025'!Área_de_impresión</vt:lpstr>
      <vt:lpstr>'11-03-2025'!Área_de_impresión</vt:lpstr>
      <vt:lpstr>'12-03-2025'!Área_de_impresión</vt:lpstr>
      <vt:lpstr>'13-03-2025'!Área_de_impresión</vt:lpstr>
      <vt:lpstr>'14-03-2025'!Área_de_impresión</vt:lpstr>
      <vt:lpstr>'15-03-2025'!Área_de_impresión</vt:lpstr>
      <vt:lpstr>'16-03-2025'!Área_de_impresión</vt:lpstr>
      <vt:lpstr>'17-03-2025'!Área_de_impresión</vt:lpstr>
      <vt:lpstr>'18-03-2025'!Área_de_impresión</vt:lpstr>
      <vt:lpstr>'19-03-2025'!Área_de_impresión</vt:lpstr>
      <vt:lpstr>'20-03-2025'!Área_de_impresión</vt:lpstr>
      <vt:lpstr>'21-03-2025'!Área_de_impresión</vt:lpstr>
      <vt:lpstr>'22-03-2025'!Área_de_impresión</vt:lpstr>
      <vt:lpstr>'23-03-2025'!Área_de_impresión</vt:lpstr>
      <vt:lpstr>'24-03-2025'!Área_de_impresión</vt:lpstr>
      <vt:lpstr>'25-03-2025'!Área_de_impresión</vt:lpstr>
      <vt:lpstr>'26-03-2025'!Área_de_impresión</vt:lpstr>
      <vt:lpstr>'27-03-2025'!Área_de_impresión</vt:lpstr>
      <vt:lpstr>'28-03-2025'!Área_de_impresión</vt:lpstr>
      <vt:lpstr>'29-03-2025'!Área_de_impresión</vt:lpstr>
      <vt:lpstr>'30-03-2025'!Área_de_impresión</vt:lpstr>
      <vt:lpstr>'31-03-2025'!Área_de_impresión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 Soler</dc:creator>
  <cp:lastModifiedBy>fedy</cp:lastModifiedBy>
  <cp:lastPrinted>2025-04-01T16:30:28Z</cp:lastPrinted>
  <dcterms:created xsi:type="dcterms:W3CDTF">2025-03-03T16:34:01Z</dcterms:created>
  <dcterms:modified xsi:type="dcterms:W3CDTF">2025-06-18T18:09:16Z</dcterms:modified>
</cp:coreProperties>
</file>