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2002b1eea798876/projects/dashboard-hosts/Docs/"/>
    </mc:Choice>
  </mc:AlternateContent>
  <xr:revisionPtr revIDLastSave="3" documentId="8_{A2ED9A05-84E3-4E51-A432-5F2A5338B696}" xr6:coauthVersionLast="47" xr6:coauthVersionMax="47" xr10:uidLastSave="{18E6C01B-7B39-4662-A329-C7B458DD7F24}"/>
  <bookViews>
    <workbookView xWindow="1570" yWindow="4240" windowWidth="25570" windowHeight="10290" firstSheet="3" activeTab="3" xr2:uid="{00000000-000D-0000-FFFF-FFFF00000000}"/>
  </bookViews>
  <sheets>
    <sheet name="ENERO 19" sheetId="1" state="hidden" r:id="rId1"/>
    <sheet name="EQUIPAMIENTO" sheetId="2" state="hidden" r:id="rId2"/>
    <sheet name="FEBRERO 19" sheetId="3" state="hidden" r:id="rId3"/>
    <sheet name="Hoja1" sheetId="6" r:id="rId4"/>
    <sheet name="Hoja2" sheetId="8" r:id="rId5"/>
    <sheet name="Hoja3" sheetId="9" r:id="rId6"/>
  </sheets>
  <definedNames>
    <definedName name="FACTORPESOS">Hoja1!$C$31</definedName>
    <definedName name="FACTORUSD">Hoja1!$D$31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6" l="1"/>
  <c r="C20" i="6" l="1"/>
  <c r="D20" i="6"/>
  <c r="G11" i="6" l="1"/>
  <c r="H11" i="6"/>
  <c r="H6" i="6"/>
  <c r="H10" i="6"/>
  <c r="J9" i="6"/>
  <c r="H9" i="6"/>
  <c r="H5" i="6"/>
  <c r="I7" i="6" l="1"/>
  <c r="K6" i="6"/>
  <c r="K9" i="6"/>
  <c r="H36" i="6" l="1"/>
  <c r="I12" i="6"/>
  <c r="J10" i="6"/>
  <c r="J11" i="6"/>
  <c r="K11" i="6" l="1"/>
  <c r="K10" i="6" l="1"/>
  <c r="K12" i="6" l="1"/>
  <c r="C28" i="6"/>
  <c r="K5" i="6" l="1"/>
  <c r="K7" i="6" l="1"/>
  <c r="H35" i="6"/>
  <c r="I34" i="6"/>
  <c r="D21" i="6"/>
  <c r="D19" i="3"/>
  <c r="D18" i="3"/>
  <c r="D17" i="3"/>
  <c r="H16" i="3"/>
  <c r="G16" i="3"/>
  <c r="D16" i="3"/>
  <c r="D20" i="3" s="1"/>
  <c r="E9" i="3"/>
  <c r="D7" i="3"/>
  <c r="D13" i="3" s="1"/>
  <c r="E6" i="3"/>
  <c r="E13" i="3" s="1"/>
  <c r="C46" i="2"/>
  <c r="C42" i="2"/>
  <c r="C39" i="2"/>
  <c r="C37" i="2"/>
  <c r="C36" i="2"/>
  <c r="C34" i="2"/>
  <c r="C32" i="2"/>
  <c r="C27" i="2"/>
  <c r="C21" i="2"/>
  <c r="C17" i="2"/>
  <c r="C13" i="2"/>
  <c r="C12" i="2"/>
  <c r="C11" i="2"/>
  <c r="C3" i="2"/>
  <c r="D17" i="1"/>
  <c r="D16" i="1"/>
  <c r="D15" i="1"/>
  <c r="D14" i="1"/>
  <c r="D18" i="1" s="1"/>
  <c r="E10" i="1"/>
  <c r="E11" i="1" s="1"/>
  <c r="D9" i="1"/>
  <c r="D11" i="1" s="1"/>
  <c r="H8" i="1"/>
  <c r="G6" i="1"/>
  <c r="G14" i="1" s="1"/>
  <c r="D12" i="1" l="1"/>
  <c r="D13" i="1" s="1"/>
  <c r="C48" i="2"/>
  <c r="E48" i="2" s="1"/>
  <c r="E12" i="1"/>
  <c r="E13" i="1" s="1"/>
  <c r="E20" i="1" s="1"/>
  <c r="E23" i="1" s="1"/>
  <c r="D20" i="1"/>
  <c r="D23" i="1" s="1"/>
  <c r="E14" i="3"/>
  <c r="E15" i="3" s="1"/>
  <c r="E22" i="3" s="1"/>
  <c r="E25" i="3" s="1"/>
  <c r="D14" i="3"/>
  <c r="D15" i="3" s="1"/>
  <c r="D22" i="3" s="1"/>
  <c r="D25" i="3" s="1"/>
  <c r="H10" i="1"/>
  <c r="H14" i="1" s="1"/>
  <c r="D15" i="6"/>
  <c r="D16" i="6" s="1"/>
  <c r="D30" i="6" s="1"/>
  <c r="D31" i="6" l="1"/>
  <c r="I31" i="6" l="1"/>
  <c r="I35" i="6"/>
  <c r="I32" i="6"/>
  <c r="I37" i="6" l="1"/>
  <c r="I40" i="6" s="1"/>
  <c r="I29" i="6"/>
  <c r="C21" i="6" l="1"/>
  <c r="C15" i="6" l="1"/>
  <c r="C16" i="6" l="1"/>
  <c r="C30" i="6" s="1"/>
  <c r="C31" i="6" s="1"/>
  <c r="H25" i="6" l="1"/>
  <c r="H33" i="6" s="1"/>
  <c r="H31" i="6"/>
  <c r="H29" i="6" l="1"/>
  <c r="H37" i="6"/>
  <c r="H40" i="6" s="1"/>
</calcChain>
</file>

<file path=xl/sharedStrings.xml><?xml version="1.0" encoding="utf-8"?>
<sst xmlns="http://schemas.openxmlformats.org/spreadsheetml/2006/main" count="181" uniqueCount="128">
  <si>
    <t>Depto 223 - Martín</t>
  </si>
  <si>
    <t>ENERO</t>
  </si>
  <si>
    <t>costos financ</t>
  </si>
  <si>
    <t>Salidas</t>
  </si>
  <si>
    <t>$</t>
  </si>
  <si>
    <t>U$S</t>
  </si>
  <si>
    <t>del 9/1 al 14/1</t>
  </si>
  <si>
    <t>PARTICULAR</t>
  </si>
  <si>
    <t>del 16/1 al 19/1</t>
  </si>
  <si>
    <t>del 19/1 al 23/1</t>
  </si>
  <si>
    <t>AIRBNB</t>
  </si>
  <si>
    <t>del 27/1 al 28/1</t>
  </si>
  <si>
    <t>BOOKING</t>
  </si>
  <si>
    <t>del 29/1 al 3/2</t>
  </si>
  <si>
    <t>TOTAL</t>
  </si>
  <si>
    <t>Honorarios Administración    -25%</t>
  </si>
  <si>
    <t>Salidas Mucama</t>
  </si>
  <si>
    <t>Salidas Insumos Limpieza y lavadero</t>
  </si>
  <si>
    <t>Supercanal</t>
  </si>
  <si>
    <t>Wifi</t>
  </si>
  <si>
    <t>Subtotal</t>
  </si>
  <si>
    <t>Costo financiero</t>
  </si>
  <si>
    <t>A liquidar</t>
  </si>
  <si>
    <t>Gastos equipamiento</t>
  </si>
  <si>
    <t>Fecha</t>
  </si>
  <si>
    <t>Descripción</t>
  </si>
  <si>
    <t>Importe</t>
  </si>
  <si>
    <t>Almohadones (2)</t>
  </si>
  <si>
    <t>Aplique baño</t>
  </si>
  <si>
    <t>Barra con 3 luces comedor</t>
  </si>
  <si>
    <t>Barra con 3 luces cocina</t>
  </si>
  <si>
    <t>Barral cortina de baño</t>
  </si>
  <si>
    <t>Cafetera</t>
  </si>
  <si>
    <t>Cortina de Baño</t>
  </si>
  <si>
    <t xml:space="preserve">Cortinas rolller black out (2) </t>
  </si>
  <si>
    <t>Cuadro mariposa</t>
  </si>
  <si>
    <t>Cuadro tríptico</t>
  </si>
  <si>
    <t>Cuadros plumas (2)</t>
  </si>
  <si>
    <t>Espejo</t>
  </si>
  <si>
    <t>Ganchos cortina baño</t>
  </si>
  <si>
    <t>Individuales</t>
  </si>
  <si>
    <t>Jabonera</t>
  </si>
  <si>
    <t>Jarron ambar</t>
  </si>
  <si>
    <t>Jarrón chico rojo</t>
  </si>
  <si>
    <t>Jarrón natural</t>
  </si>
  <si>
    <t>Jarrones decorativos rojos (2)</t>
  </si>
  <si>
    <t>Lámpara alta</t>
  </si>
  <si>
    <t>préstamo</t>
  </si>
  <si>
    <t>Lámpara de 3 luces Living</t>
  </si>
  <si>
    <t>Lámpara sobre cama</t>
  </si>
  <si>
    <t>Mesa de comedor</t>
  </si>
  <si>
    <t>Mesa ratona ovalada</t>
  </si>
  <si>
    <t>Mesas de luz (2)</t>
  </si>
  <si>
    <t>Microondas</t>
  </si>
  <si>
    <t>Mueble comedor</t>
  </si>
  <si>
    <t>Pava Eléctrica</t>
  </si>
  <si>
    <t>Pie de cama</t>
  </si>
  <si>
    <t>Reloj de pared</t>
  </si>
  <si>
    <t>Secador de pelo</t>
  </si>
  <si>
    <t>Sillas (4)</t>
  </si>
  <si>
    <t>Sillon cama</t>
  </si>
  <si>
    <t>Sillones (2)</t>
  </si>
  <si>
    <t>Soporte Rollo cocina</t>
  </si>
  <si>
    <t>Tostadora</t>
  </si>
  <si>
    <t>Veladores (2)</t>
  </si>
  <si>
    <t>Vajilla platos</t>
  </si>
  <si>
    <t>Vajilla cubiertos</t>
  </si>
  <si>
    <t>Vasos (6) Chile</t>
  </si>
  <si>
    <t>Batería de cocina</t>
  </si>
  <si>
    <t>Limpieza de obra</t>
  </si>
  <si>
    <t>Instalación de artefactos de luz</t>
  </si>
  <si>
    <t>FEBRERO</t>
  </si>
  <si>
    <t>del 5/2 al 7/2</t>
  </si>
  <si>
    <t>del 8/2 al 10/2</t>
  </si>
  <si>
    <t>del 13/2 al 16/2</t>
  </si>
  <si>
    <t>del 18/2 al 20/2</t>
  </si>
  <si>
    <t>del 22/2 al 25/2</t>
  </si>
  <si>
    <t>Julio 2025  - Departamento 609</t>
  </si>
  <si>
    <t>reserva</t>
  </si>
  <si>
    <t>Huesped</t>
  </si>
  <si>
    <t>check in</t>
  </si>
  <si>
    <t>check out</t>
  </si>
  <si>
    <t>Canal</t>
  </si>
  <si>
    <t>Forma de cobro</t>
  </si>
  <si>
    <t>Cobrado Bruto (reserva + comisión canal+ tasa limpieza+ IVA)</t>
  </si>
  <si>
    <t>Comisión Canal (booking, despegar, expedia)</t>
  </si>
  <si>
    <t>Tasa de limpieza pagada por el huesped</t>
  </si>
  <si>
    <t>Costo financiero (comision TC, IIBB etc)</t>
  </si>
  <si>
    <t>Neto</t>
  </si>
  <si>
    <t>OBSERVACIONES</t>
  </si>
  <si>
    <t>LIQUIDADCION EN $</t>
  </si>
  <si>
    <t>Marisel Ana Barbero</t>
  </si>
  <si>
    <t>Booking</t>
  </si>
  <si>
    <t>Transferencia al propietario</t>
  </si>
  <si>
    <t>Juan Ignacio Lopez Alanis</t>
  </si>
  <si>
    <t>TOTAL NETO EN $</t>
  </si>
  <si>
    <t>LIQUIDADCION EN USD</t>
  </si>
  <si>
    <t>George Gurgel</t>
  </si>
  <si>
    <t>Stripe</t>
  </si>
  <si>
    <t>Flavia Azevedo Dias</t>
  </si>
  <si>
    <t>Andre Reis</t>
  </si>
  <si>
    <t>TOTAL NETO EN USD</t>
  </si>
  <si>
    <t>A LIQUIDAR</t>
  </si>
  <si>
    <t>USD</t>
  </si>
  <si>
    <t>Saldo Anterior</t>
  </si>
  <si>
    <t xml:space="preserve">Total Neto </t>
  </si>
  <si>
    <t>En Efectivo</t>
  </si>
  <si>
    <t>Honorarios Administración</t>
  </si>
  <si>
    <t>Por PayPal</t>
  </si>
  <si>
    <t>Por Transferencia Bancaria</t>
  </si>
  <si>
    <t>Limpieza y mantenimiento</t>
  </si>
  <si>
    <t>Por Transferencia</t>
  </si>
  <si>
    <t>Cobrados a los huepedes</t>
  </si>
  <si>
    <t>Por Stripe</t>
  </si>
  <si>
    <t>Gastados</t>
  </si>
  <si>
    <t>Por Mercadopago</t>
  </si>
  <si>
    <t>Total</t>
  </si>
  <si>
    <t>´JULIO 2025</t>
  </si>
  <si>
    <t>Otros gastos</t>
  </si>
  <si>
    <t>Cable JULIO</t>
  </si>
  <si>
    <t>Internet JULIO</t>
  </si>
  <si>
    <t>Por Transferencia diferida</t>
  </si>
  <si>
    <t>Total otros</t>
  </si>
  <si>
    <t>Neto JULIO 2025</t>
  </si>
  <si>
    <t>TOTAL A LIQUIDAR</t>
  </si>
  <si>
    <t>(Barbero)</t>
  </si>
  <si>
    <t>(Lopez Alanis)</t>
  </si>
  <si>
    <t>SALDO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</si>
</sst>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[$USD]\ #,##0.00;\-[$USD]\ #,##0.00"/>
    <numFmt numFmtId="166" formatCode="&quot;$&quot;#,##0.00"/>
    <numFmt numFmtId="167" formatCode="[$USD]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1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0" borderId="0" xfId="0" applyFont="1"/>
    <xf numFmtId="43" fontId="3" fillId="0" borderId="0" xfId="1" applyFont="1"/>
    <xf numFmtId="43" fontId="0" fillId="0" borderId="0" xfId="1" applyFont="1"/>
    <xf numFmtId="9" fontId="8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3" fontId="3" fillId="3" borderId="0" xfId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5" borderId="0" xfId="0" applyNumberFormat="1" applyFont="1" applyFill="1"/>
    <xf numFmtId="2" fontId="0" fillId="0" borderId="0" xfId="0" applyNumberFormat="1"/>
    <xf numFmtId="2" fontId="3" fillId="5" borderId="0" xfId="0" applyNumberFormat="1" applyFont="1" applyFill="1" applyAlignment="1">
      <alignment horizontal="center"/>
    </xf>
    <xf numFmtId="2" fontId="3" fillId="0" borderId="0" xfId="0" applyNumberFormat="1" applyFont="1"/>
    <xf numFmtId="43" fontId="3" fillId="0" borderId="0" xfId="1" applyFont="1" applyFill="1" applyBorder="1" applyAlignment="1">
      <alignment horizontal="center"/>
    </xf>
    <xf numFmtId="43" fontId="0" fillId="0" borderId="0" xfId="1" applyFont="1" applyFill="1" applyBorder="1"/>
    <xf numFmtId="43" fontId="1" fillId="0" borderId="0" xfId="1" applyFont="1" applyFill="1" applyBorder="1" applyAlignment="1">
      <alignment horizontal="center" vertical="top"/>
    </xf>
    <xf numFmtId="2" fontId="2" fillId="0" borderId="0" xfId="0" applyNumberFormat="1" applyFont="1"/>
    <xf numFmtId="43" fontId="7" fillId="0" borderId="0" xfId="1" applyFont="1" applyFill="1" applyBorder="1"/>
    <xf numFmtId="43" fontId="6" fillId="0" borderId="0" xfId="1" applyFont="1" applyFill="1" applyBorder="1"/>
    <xf numFmtId="43" fontId="10" fillId="0" borderId="0" xfId="1" applyFont="1" applyFill="1" applyBorder="1"/>
    <xf numFmtId="2" fontId="0" fillId="0" borderId="0" xfId="1" applyNumberFormat="1" applyFont="1" applyFill="1" applyBorder="1"/>
    <xf numFmtId="43" fontId="12" fillId="0" borderId="0" xfId="1" applyFont="1" applyFill="1" applyBorder="1"/>
    <xf numFmtId="43" fontId="13" fillId="0" borderId="0" xfId="1" applyFont="1" applyFill="1" applyBorder="1"/>
    <xf numFmtId="43" fontId="9" fillId="0" borderId="0" xfId="1" applyFont="1" applyFill="1" applyBorder="1"/>
    <xf numFmtId="2" fontId="3" fillId="3" borderId="0" xfId="1" applyNumberFormat="1" applyFont="1" applyFill="1" applyBorder="1" applyAlignment="1">
      <alignment horizontal="center"/>
    </xf>
    <xf numFmtId="164" fontId="0" fillId="0" borderId="0" xfId="2" applyFont="1"/>
    <xf numFmtId="166" fontId="0" fillId="5" borderId="3" xfId="2" applyNumberFormat="1" applyFont="1" applyFill="1" applyBorder="1" applyAlignment="1">
      <alignment horizontal="right"/>
    </xf>
    <xf numFmtId="166" fontId="0" fillId="5" borderId="4" xfId="2" applyNumberFormat="1" applyFont="1" applyFill="1" applyBorder="1" applyAlignment="1">
      <alignment horizontal="right"/>
    </xf>
    <xf numFmtId="166" fontId="0" fillId="5" borderId="5" xfId="2" applyNumberFormat="1" applyFont="1" applyFill="1" applyBorder="1" applyAlignment="1">
      <alignment horizontal="right"/>
    </xf>
    <xf numFmtId="166" fontId="7" fillId="5" borderId="0" xfId="2" applyNumberFormat="1" applyFont="1" applyFill="1" applyAlignment="1">
      <alignment horizontal="right"/>
    </xf>
    <xf numFmtId="166" fontId="6" fillId="5" borderId="2" xfId="2" applyNumberFormat="1" applyFont="1" applyFill="1" applyBorder="1" applyAlignment="1">
      <alignment horizontal="right"/>
    </xf>
    <xf numFmtId="166" fontId="10" fillId="5" borderId="0" xfId="2" applyNumberFormat="1" applyFont="1" applyFill="1" applyAlignment="1">
      <alignment horizontal="right"/>
    </xf>
    <xf numFmtId="166" fontId="0" fillId="5" borderId="0" xfId="2" applyNumberFormat="1" applyFont="1" applyFill="1" applyAlignment="1">
      <alignment horizontal="right"/>
    </xf>
    <xf numFmtId="166" fontId="0" fillId="5" borderId="2" xfId="2" applyNumberFormat="1" applyFont="1" applyFill="1" applyBorder="1" applyAlignment="1">
      <alignment horizontal="right"/>
    </xf>
    <xf numFmtId="166" fontId="12" fillId="5" borderId="1" xfId="2" applyNumberFormat="1" applyFont="1" applyFill="1" applyBorder="1" applyAlignment="1">
      <alignment horizontal="right"/>
    </xf>
    <xf numFmtId="166" fontId="0" fillId="0" borderId="0" xfId="2" applyNumberFormat="1" applyFont="1" applyAlignment="1">
      <alignment horizontal="right"/>
    </xf>
    <xf numFmtId="165" fontId="0" fillId="3" borderId="3" xfId="2" applyNumberFormat="1" applyFont="1" applyFill="1" applyBorder="1" applyAlignment="1">
      <alignment horizontal="right"/>
    </xf>
    <xf numFmtId="165" fontId="1" fillId="3" borderId="4" xfId="2" applyNumberFormat="1" applyFont="1" applyFill="1" applyBorder="1" applyAlignment="1">
      <alignment horizontal="right" vertical="top"/>
    </xf>
    <xf numFmtId="165" fontId="0" fillId="3" borderId="4" xfId="2" applyNumberFormat="1" applyFont="1" applyFill="1" applyBorder="1" applyAlignment="1">
      <alignment horizontal="right"/>
    </xf>
    <xf numFmtId="165" fontId="1" fillId="3" borderId="5" xfId="2" applyNumberFormat="1" applyFont="1" applyFill="1" applyBorder="1" applyAlignment="1">
      <alignment horizontal="right" vertical="top"/>
    </xf>
    <xf numFmtId="165" fontId="7" fillId="3" borderId="0" xfId="2" applyNumberFormat="1" applyFont="1" applyFill="1" applyAlignment="1">
      <alignment horizontal="right"/>
    </xf>
    <xf numFmtId="165" fontId="6" fillId="3" borderId="2" xfId="2" applyNumberFormat="1" applyFont="1" applyFill="1" applyBorder="1" applyAlignment="1">
      <alignment horizontal="right"/>
    </xf>
    <xf numFmtId="165" fontId="10" fillId="3" borderId="0" xfId="2" applyNumberFormat="1" applyFont="1" applyFill="1" applyAlignment="1">
      <alignment horizontal="right"/>
    </xf>
    <xf numFmtId="165" fontId="0" fillId="3" borderId="0" xfId="2" applyNumberFormat="1" applyFont="1" applyFill="1" applyAlignment="1">
      <alignment horizontal="right"/>
    </xf>
    <xf numFmtId="165" fontId="12" fillId="2" borderId="1" xfId="2" applyNumberFormat="1" applyFont="1" applyFill="1" applyBorder="1" applyAlignment="1">
      <alignment horizontal="right"/>
    </xf>
    <xf numFmtId="165" fontId="0" fillId="0" borderId="0" xfId="2" applyNumberFormat="1" applyFont="1" applyAlignment="1">
      <alignment horizontal="right"/>
    </xf>
    <xf numFmtId="0" fontId="7" fillId="0" borderId="0" xfId="0" applyFont="1" applyAlignment="1">
      <alignment horizontal="right"/>
    </xf>
    <xf numFmtId="165" fontId="9" fillId="2" borderId="1" xfId="2" applyNumberFormat="1" applyFont="1" applyFill="1" applyBorder="1" applyAlignment="1">
      <alignment horizontal="right"/>
    </xf>
    <xf numFmtId="166" fontId="11" fillId="5" borderId="1" xfId="2" applyNumberFormat="1" applyFont="1" applyFill="1" applyBorder="1" applyAlignment="1">
      <alignment horizontal="right"/>
    </xf>
    <xf numFmtId="43" fontId="14" fillId="0" borderId="0" xfId="1" applyFont="1" applyFill="1" applyBorder="1"/>
    <xf numFmtId="0" fontId="10" fillId="0" borderId="0" xfId="0" applyFont="1"/>
    <xf numFmtId="164" fontId="3" fillId="0" borderId="1" xfId="2" applyFont="1" applyBorder="1"/>
    <xf numFmtId="0" fontId="0" fillId="0" borderId="1" xfId="0" applyBorder="1"/>
    <xf numFmtId="164" fontId="0" fillId="0" borderId="1" xfId="2" applyFont="1" applyBorder="1"/>
    <xf numFmtId="0" fontId="0" fillId="4" borderId="1" xfId="0" applyFill="1" applyBorder="1"/>
    <xf numFmtId="0" fontId="3" fillId="0" borderId="5" xfId="0" applyFont="1" applyBorder="1"/>
    <xf numFmtId="0" fontId="15" fillId="0" borderId="8" xfId="0" applyFont="1" applyBorder="1"/>
    <xf numFmtId="0" fontId="15" fillId="0" borderId="9" xfId="0" applyFont="1" applyBorder="1"/>
    <xf numFmtId="0" fontId="16" fillId="0" borderId="0" xfId="0" applyFont="1"/>
    <xf numFmtId="167" fontId="9" fillId="2" borderId="6" xfId="0" applyNumberFormat="1" applyFont="1" applyFill="1" applyBorder="1"/>
    <xf numFmtId="166" fontId="0" fillId="5" borderId="10" xfId="2" applyNumberFormat="1" applyFont="1" applyFill="1" applyBorder="1" applyAlignment="1">
      <alignment horizontal="right"/>
    </xf>
    <xf numFmtId="166" fontId="0" fillId="5" borderId="11" xfId="2" applyNumberFormat="1" applyFont="1" applyFill="1" applyBorder="1" applyAlignment="1">
      <alignment horizontal="right"/>
    </xf>
    <xf numFmtId="166" fontId="0" fillId="5" borderId="12" xfId="2" applyNumberFormat="1" applyFont="1" applyFill="1" applyBorder="1" applyAlignment="1">
      <alignment horizontal="right"/>
    </xf>
    <xf numFmtId="164" fontId="7" fillId="5" borderId="7" xfId="2" applyFont="1" applyFill="1" applyBorder="1"/>
    <xf numFmtId="0" fontId="17" fillId="6" borderId="0" xfId="0" applyFont="1" applyFill="1" applyAlignment="1">
      <alignment vertical="center" wrapText="1"/>
    </xf>
    <xf numFmtId="0" fontId="17" fillId="6" borderId="0" xfId="0" applyFont="1" applyFill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/>
    </xf>
    <xf numFmtId="0" fontId="17" fillId="0" borderId="0" xfId="0" applyFont="1"/>
    <xf numFmtId="0" fontId="18" fillId="0" borderId="0" xfId="0" applyFont="1"/>
    <xf numFmtId="0" fontId="17" fillId="6" borderId="0" xfId="0" applyFont="1" applyFill="1"/>
    <xf numFmtId="0" fontId="0" fillId="0" borderId="13" xfId="0" applyBorder="1"/>
    <xf numFmtId="0" fontId="0" fillId="0" borderId="15" xfId="0" applyBorder="1"/>
    <xf numFmtId="2" fontId="0" fillId="0" borderId="1" xfId="0" applyNumberFormat="1" applyBorder="1"/>
    <xf numFmtId="2" fontId="17" fillId="6" borderId="0" xfId="0" applyNumberFormat="1" applyFont="1" applyFill="1"/>
    <xf numFmtId="2" fontId="17" fillId="0" borderId="0" xfId="0" applyNumberFormat="1" applyFont="1"/>
    <xf numFmtId="2" fontId="7" fillId="0" borderId="14" xfId="0" applyNumberFormat="1" applyFont="1" applyBorder="1" applyAlignment="1">
      <alignment horizontal="center" vertical="center" wrapText="1"/>
    </xf>
    <xf numFmtId="0" fontId="19" fillId="7" borderId="8" xfId="0" applyFont="1" applyFill="1" applyBorder="1"/>
    <xf numFmtId="0" fontId="19" fillId="7" borderId="16" xfId="0" applyFont="1" applyFill="1" applyBorder="1"/>
    <xf numFmtId="2" fontId="19" fillId="7" borderId="16" xfId="0" applyNumberFormat="1" applyFont="1" applyFill="1" applyBorder="1"/>
    <xf numFmtId="2" fontId="19" fillId="7" borderId="9" xfId="0" applyNumberFormat="1" applyFont="1" applyFill="1" applyBorder="1"/>
    <xf numFmtId="17" fontId="19" fillId="0" borderId="0" xfId="0" applyNumberFormat="1" applyFont="1"/>
    <xf numFmtId="17" fontId="17" fillId="6" borderId="0" xfId="0" applyNumberFormat="1" applyFont="1" applyFill="1"/>
    <xf numFmtId="0" fontId="0" fillId="6" borderId="0" xfId="0" applyFill="1"/>
    <xf numFmtId="0" fontId="7" fillId="0" borderId="12" xfId="0" applyFont="1" applyBorder="1" applyAlignment="1">
      <alignment vertical="center"/>
    </xf>
    <xf numFmtId="0" fontId="17" fillId="6" borderId="10" xfId="0" applyFont="1" applyFill="1" applyBorder="1"/>
    <xf numFmtId="2" fontId="18" fillId="6" borderId="0" xfId="0" applyNumberFormat="1" applyFont="1" applyFill="1"/>
    <xf numFmtId="0" fontId="18" fillId="6" borderId="0" xfId="0" applyFont="1" applyFill="1"/>
    <xf numFmtId="2" fontId="18" fillId="6" borderId="17" xfId="0" applyNumberFormat="1" applyFont="1" applyFill="1" applyBorder="1"/>
    <xf numFmtId="2" fontId="17" fillId="6" borderId="4" xfId="0" applyNumberFormat="1" applyFont="1" applyFill="1" applyBorder="1"/>
    <xf numFmtId="2" fontId="18" fillId="0" borderId="0" xfId="0" applyNumberFormat="1" applyFont="1"/>
    <xf numFmtId="2" fontId="0" fillId="4" borderId="1" xfId="0" applyNumberFormat="1" applyFill="1" applyBorder="1"/>
    <xf numFmtId="2" fontId="0" fillId="0" borderId="15" xfId="0" applyNumberFormat="1" applyBorder="1"/>
    <xf numFmtId="0" fontId="0" fillId="0" borderId="3" xfId="0" applyBorder="1"/>
    <xf numFmtId="0" fontId="0" fillId="0" borderId="5" xfId="0" applyBorder="1"/>
    <xf numFmtId="0" fontId="0" fillId="0" borderId="12" xfId="0" applyBorder="1" applyAlignment="1">
      <alignment horizontal="left"/>
    </xf>
    <xf numFmtId="0" fontId="0" fillId="0" borderId="18" xfId="0" applyBorder="1" applyAlignment="1">
      <alignment horizontal="left"/>
    </xf>
    <xf numFmtId="2" fontId="0" fillId="4" borderId="15" xfId="0" applyNumberFormat="1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13" xfId="0" applyFill="1" applyBorder="1"/>
    <xf numFmtId="0" fontId="0" fillId="4" borderId="15" xfId="0" applyFill="1" applyBorder="1"/>
    <xf numFmtId="2" fontId="12" fillId="0" borderId="1" xfId="0" applyNumberFormat="1" applyFont="1" applyBorder="1"/>
    <xf numFmtId="0" fontId="5" fillId="0" borderId="14" xfId="0" applyFont="1" applyBorder="1" applyAlignment="1">
      <alignment horizontal="center" vertical="center" wrapText="1"/>
    </xf>
    <xf numFmtId="9" fontId="5" fillId="0" borderId="0" xfId="0" applyNumberFormat="1" applyFont="1"/>
    <xf numFmtId="0" fontId="7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15" fontId="12" fillId="6" borderId="0" xfId="0" applyNumberFormat="1" applyFont="1" applyFill="1"/>
    <xf numFmtId="2" fontId="0" fillId="6" borderId="0" xfId="0" applyNumberFormat="1" applyFill="1"/>
    <xf numFmtId="0" fontId="0" fillId="6" borderId="17" xfId="0" applyFill="1" applyBorder="1"/>
    <xf numFmtId="2" fontId="17" fillId="6" borderId="2" xfId="0" applyNumberFormat="1" applyFont="1" applyFill="1" applyBorder="1"/>
    <xf numFmtId="0" fontId="18" fillId="6" borderId="4" xfId="0" applyFont="1" applyFill="1" applyBorder="1"/>
    <xf numFmtId="0" fontId="7" fillId="0" borderId="0" xfId="0" applyFont="1"/>
    <xf numFmtId="0" fontId="20" fillId="6" borderId="0" xfId="0" applyFont="1" applyFill="1"/>
    <xf numFmtId="0" fontId="17" fillId="6" borderId="10" xfId="0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2" fontId="16" fillId="0" borderId="0" xfId="0" applyNumberFormat="1" applyFont="1"/>
    <xf numFmtId="0" fontId="21" fillId="8" borderId="8" xfId="0" applyFont="1" applyFill="1" applyBorder="1" applyAlignment="1">
      <alignment horizontal="right"/>
    </xf>
    <xf numFmtId="2" fontId="21" fillId="8" borderId="6" xfId="0" applyNumberFormat="1" applyFont="1" applyFill="1" applyBorder="1"/>
    <xf numFmtId="2" fontId="21" fillId="8" borderId="9" xfId="0" applyNumberFormat="1" applyFont="1" applyFill="1" applyBorder="1"/>
    <xf numFmtId="2" fontId="12" fillId="0" borderId="15" xfId="0" applyNumberFormat="1" applyFont="1" applyBorder="1"/>
    <xf numFmtId="2" fontId="0" fillId="9" borderId="1" xfId="0" applyNumberFormat="1" applyFill="1" applyBorder="1"/>
    <xf numFmtId="0" fontId="0" fillId="9" borderId="0" xfId="0" applyFill="1"/>
    <xf numFmtId="2" fontId="12" fillId="9" borderId="0" xfId="0" applyNumberFormat="1" applyFont="1" applyFill="1"/>
    <xf numFmtId="0" fontId="0" fillId="0" borderId="0" xfId="0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15" fontId="12" fillId="0" borderId="3" xfId="0" applyNumberFormat="1" applyFont="1" applyFill="1" applyBorder="1"/>
    <xf numFmtId="2" fontId="0" fillId="0" borderId="3" xfId="0" applyNumberFormat="1" applyFill="1" applyBorder="1"/>
    <xf numFmtId="2" fontId="12" fillId="0" borderId="3" xfId="0" applyNumberFormat="1" applyFont="1" applyFill="1" applyBorder="1"/>
    <xf numFmtId="0" fontId="10" fillId="0" borderId="1" xfId="0" applyFont="1" applyFill="1" applyBorder="1"/>
    <xf numFmtId="0" fontId="12" fillId="0" borderId="3" xfId="0" applyFont="1" applyFill="1" applyBorder="1"/>
    <xf numFmtId="0" fontId="0" fillId="0" borderId="3" xfId="0" applyFill="1" applyBorder="1" applyAlignment="1">
      <alignment horizontal="center"/>
    </xf>
    <xf numFmtId="2" fontId="12" fillId="0" borderId="1" xfId="0" applyNumberFormat="1" applyFont="1" applyFill="1" applyBorder="1"/>
    <xf numFmtId="0" fontId="10" fillId="0" borderId="3" xfId="0" applyFont="1" applyFill="1" applyBorder="1"/>
    <xf numFmtId="0" fontId="0" fillId="0" borderId="1" xfId="0" applyFill="1" applyBorder="1"/>
    <xf numFmtId="15" fontId="12" fillId="0" borderId="1" xfId="0" applyNumberFormat="1" applyFont="1" applyFill="1" applyBorder="1"/>
    <xf numFmtId="2" fontId="0" fillId="0" borderId="1" xfId="0" applyNumberForma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C5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workbookViewId="0">
      <selection activeCell="D23" sqref="D23:E23"/>
    </sheetView>
  </sheetViews>
  <sheetFormatPr defaultColWidth="11.453125" defaultRowHeight="14.5" x14ac:dyDescent="0.35"/>
  <cols>
    <col min="1" max="1" width="41.7265625" customWidth="1"/>
    <col min="2" max="2" width="9.7265625" customWidth="1"/>
    <col min="3" max="3" width="8.7265625" customWidth="1"/>
    <col min="4" max="4" width="14.81640625" style="12" customWidth="1"/>
    <col min="5" max="5" width="15.26953125" style="5" customWidth="1"/>
    <col min="6" max="6" width="23.7265625" customWidth="1"/>
    <col min="7" max="7" width="15.453125" style="14" customWidth="1"/>
    <col min="8" max="8" width="12.453125" style="14" customWidth="1"/>
  </cols>
  <sheetData>
    <row r="1" spans="1:8" s="1" customFormat="1" ht="18.5" x14ac:dyDescent="0.45">
      <c r="A1" s="2" t="s">
        <v>0</v>
      </c>
      <c r="D1" s="10"/>
      <c r="E1" s="4"/>
      <c r="G1" s="16"/>
      <c r="H1" s="16"/>
    </row>
    <row r="2" spans="1:8" s="1" customFormat="1" ht="18.5" x14ac:dyDescent="0.45">
      <c r="A2" s="3" t="s">
        <v>1</v>
      </c>
      <c r="D2" s="10"/>
      <c r="E2" s="4"/>
      <c r="G2" s="16"/>
      <c r="H2" s="16"/>
    </row>
    <row r="3" spans="1:8" s="1" customFormat="1" ht="18.5" x14ac:dyDescent="0.45">
      <c r="A3" s="3"/>
      <c r="B3" s="3"/>
      <c r="C3" s="3"/>
      <c r="D3" s="11"/>
      <c r="E3" s="4"/>
      <c r="G3" s="16"/>
      <c r="H3" s="16"/>
    </row>
    <row r="4" spans="1:8" x14ac:dyDescent="0.35">
      <c r="G4" s="132" t="s">
        <v>2</v>
      </c>
      <c r="H4" s="132"/>
    </row>
    <row r="5" spans="1:8" s="1" customFormat="1" ht="18.5" x14ac:dyDescent="0.45">
      <c r="A5" s="1" t="s">
        <v>3</v>
      </c>
      <c r="D5" s="15" t="s">
        <v>4</v>
      </c>
      <c r="E5" s="9" t="s">
        <v>5</v>
      </c>
      <c r="G5" s="13" t="s">
        <v>4</v>
      </c>
      <c r="H5" s="28" t="s">
        <v>5</v>
      </c>
    </row>
    <row r="6" spans="1:8" x14ac:dyDescent="0.35">
      <c r="A6" t="s">
        <v>6</v>
      </c>
      <c r="D6" s="30">
        <v>13500</v>
      </c>
      <c r="E6" s="40"/>
      <c r="F6" t="s">
        <v>7</v>
      </c>
      <c r="G6" s="14">
        <f>D6*0.03</f>
        <v>405</v>
      </c>
    </row>
    <row r="7" spans="1:8" x14ac:dyDescent="0.35">
      <c r="A7" t="s">
        <v>8</v>
      </c>
      <c r="D7" s="31"/>
      <c r="E7" s="41">
        <v>240</v>
      </c>
      <c r="F7" t="s">
        <v>7</v>
      </c>
    </row>
    <row r="8" spans="1:8" x14ac:dyDescent="0.35">
      <c r="A8" t="s">
        <v>9</v>
      </c>
      <c r="D8" s="31"/>
      <c r="E8" s="41">
        <v>235</v>
      </c>
      <c r="F8" t="s">
        <v>10</v>
      </c>
      <c r="H8" s="14">
        <f>E8*0.075</f>
        <v>17.625</v>
      </c>
    </row>
    <row r="9" spans="1:8" x14ac:dyDescent="0.35">
      <c r="A9" t="s">
        <v>11</v>
      </c>
      <c r="D9" s="31">
        <f>(89.3*37.9)-609</f>
        <v>2775.47</v>
      </c>
      <c r="E9" s="42"/>
      <c r="F9" t="s">
        <v>12</v>
      </c>
      <c r="G9" s="14">
        <v>265.49</v>
      </c>
    </row>
    <row r="10" spans="1:8" x14ac:dyDescent="0.35">
      <c r="A10" t="s">
        <v>13</v>
      </c>
      <c r="D10" s="32"/>
      <c r="E10" s="43">
        <f>(428.35-73.5)</f>
        <v>354.85</v>
      </c>
      <c r="F10" t="s">
        <v>12</v>
      </c>
      <c r="H10" s="14">
        <f>E10*0.075</f>
        <v>26.61375</v>
      </c>
    </row>
    <row r="11" spans="1:8" x14ac:dyDescent="0.35">
      <c r="A11" s="7" t="s">
        <v>14</v>
      </c>
      <c r="D11" s="33">
        <f>SUM(D6:D10)</f>
        <v>16275.47</v>
      </c>
      <c r="E11" s="44">
        <f>SUM(E6:E10)</f>
        <v>829.85</v>
      </c>
    </row>
    <row r="12" spans="1:8" x14ac:dyDescent="0.35">
      <c r="A12" s="6" t="s">
        <v>15</v>
      </c>
      <c r="D12" s="34">
        <f>(D11*0.25)</f>
        <v>4068.8674999999998</v>
      </c>
      <c r="E12" s="45">
        <f>(E11*0.25)</f>
        <v>207.46250000000001</v>
      </c>
    </row>
    <row r="13" spans="1:8" x14ac:dyDescent="0.35">
      <c r="D13" s="35">
        <f>(D11-D12)</f>
        <v>12206.602499999999</v>
      </c>
      <c r="E13" s="46">
        <f>(E11-E12)</f>
        <v>622.38750000000005</v>
      </c>
    </row>
    <row r="14" spans="1:8" x14ac:dyDescent="0.35">
      <c r="A14" t="s">
        <v>16</v>
      </c>
      <c r="B14">
        <v>5</v>
      </c>
      <c r="C14">
        <v>450</v>
      </c>
      <c r="D14" s="36">
        <f>(B14*C14)</f>
        <v>2250</v>
      </c>
      <c r="E14" s="47"/>
      <c r="G14" s="14">
        <f>SUM(G6:G13)</f>
        <v>670.49</v>
      </c>
      <c r="H14" s="14">
        <f>SUM(H6:H13)</f>
        <v>44.238749999999996</v>
      </c>
    </row>
    <row r="15" spans="1:8" x14ac:dyDescent="0.35">
      <c r="A15" t="s">
        <v>17</v>
      </c>
      <c r="B15">
        <v>5</v>
      </c>
      <c r="C15">
        <v>420</v>
      </c>
      <c r="D15" s="36">
        <f>(B15*C15)</f>
        <v>2100</v>
      </c>
      <c r="E15" s="47"/>
    </row>
    <row r="16" spans="1:8" x14ac:dyDescent="0.35">
      <c r="A16" t="s">
        <v>18</v>
      </c>
      <c r="B16">
        <v>1</v>
      </c>
      <c r="C16">
        <v>800</v>
      </c>
      <c r="D16" s="36">
        <f>B16*C16</f>
        <v>800</v>
      </c>
      <c r="E16" s="47"/>
    </row>
    <row r="17" spans="1:6" x14ac:dyDescent="0.35">
      <c r="A17" t="s">
        <v>19</v>
      </c>
      <c r="B17">
        <v>1</v>
      </c>
      <c r="C17">
        <v>700</v>
      </c>
      <c r="D17" s="37">
        <f>B17*C17</f>
        <v>700</v>
      </c>
      <c r="E17" s="47"/>
    </row>
    <row r="18" spans="1:6" x14ac:dyDescent="0.35">
      <c r="D18" s="36">
        <f>SUM(D14:D17)</f>
        <v>5850</v>
      </c>
      <c r="E18" s="47"/>
    </row>
    <row r="19" spans="1:6" x14ac:dyDescent="0.35">
      <c r="D19" s="36"/>
      <c r="E19" s="47"/>
      <c r="F19" s="14"/>
    </row>
    <row r="20" spans="1:6" x14ac:dyDescent="0.35">
      <c r="A20" s="50" t="s">
        <v>20</v>
      </c>
      <c r="D20" s="38">
        <f>D13-D18</f>
        <v>6356.6024999999991</v>
      </c>
      <c r="E20" s="48">
        <f>(E13-E14-E15-E16)</f>
        <v>622.38750000000005</v>
      </c>
      <c r="F20" s="14"/>
    </row>
    <row r="21" spans="1:6" x14ac:dyDescent="0.35">
      <c r="A21" t="s">
        <v>21</v>
      </c>
      <c r="D21" s="39">
        <v>670.49</v>
      </c>
      <c r="E21" s="49">
        <v>44.238749999999996</v>
      </c>
      <c r="F21" s="14"/>
    </row>
    <row r="23" spans="1:6" ht="18.5" x14ac:dyDescent="0.45">
      <c r="A23" s="8" t="s">
        <v>22</v>
      </c>
      <c r="D23" s="52">
        <f>D20-D21</f>
        <v>5686.1124999999993</v>
      </c>
      <c r="E23" s="51">
        <f>E20-E21</f>
        <v>578.14875000000006</v>
      </c>
    </row>
    <row r="24" spans="1:6" ht="18.5" x14ac:dyDescent="0.45">
      <c r="D24" s="16"/>
      <c r="E24" s="17"/>
    </row>
    <row r="25" spans="1:6" ht="18.5" x14ac:dyDescent="0.45">
      <c r="D25" s="16"/>
      <c r="E25" s="17"/>
    </row>
    <row r="26" spans="1:6" ht="15.5" x14ac:dyDescent="0.35">
      <c r="A26" s="8"/>
      <c r="D26"/>
      <c r="E26" s="53"/>
    </row>
    <row r="27" spans="1:6" x14ac:dyDescent="0.35">
      <c r="A27" s="129"/>
      <c r="D27" s="54"/>
      <c r="E27" s="18"/>
    </row>
    <row r="28" spans="1:6" x14ac:dyDescent="0.35">
      <c r="D28"/>
      <c r="E28" s="18"/>
    </row>
    <row r="29" spans="1:6" ht="18.5" x14ac:dyDescent="0.45">
      <c r="D29"/>
      <c r="E29" s="27"/>
    </row>
    <row r="30" spans="1:6" x14ac:dyDescent="0.35">
      <c r="D30" s="14"/>
      <c r="E30" s="19"/>
    </row>
    <row r="31" spans="1:6" x14ac:dyDescent="0.35">
      <c r="D31" s="14"/>
      <c r="E31" s="19"/>
    </row>
    <row r="32" spans="1:6" x14ac:dyDescent="0.35">
      <c r="D32" s="14"/>
      <c r="E32" s="19"/>
    </row>
    <row r="33" spans="4:5" x14ac:dyDescent="0.35">
      <c r="D33" s="20"/>
      <c r="E33" s="21"/>
    </row>
    <row r="34" spans="4:5" x14ac:dyDescent="0.35">
      <c r="D34" s="22"/>
      <c r="E34" s="22"/>
    </row>
    <row r="35" spans="4:5" x14ac:dyDescent="0.35">
      <c r="D35" s="23"/>
      <c r="E35" s="23"/>
    </row>
    <row r="36" spans="4:5" x14ac:dyDescent="0.35">
      <c r="D36" s="14"/>
      <c r="E36" s="23"/>
    </row>
    <row r="37" spans="4:5" x14ac:dyDescent="0.35">
      <c r="D37" s="24"/>
      <c r="E37" s="18"/>
    </row>
    <row r="38" spans="4:5" x14ac:dyDescent="0.35">
      <c r="D38" s="24"/>
      <c r="E38" s="18"/>
    </row>
    <row r="39" spans="4:5" x14ac:dyDescent="0.35">
      <c r="D39" s="24"/>
      <c r="E39" s="18"/>
    </row>
    <row r="40" spans="4:5" x14ac:dyDescent="0.35">
      <c r="D40" s="25"/>
      <c r="E40" s="25"/>
    </row>
    <row r="41" spans="4:5" x14ac:dyDescent="0.35">
      <c r="D41" s="14"/>
      <c r="E41" s="18"/>
    </row>
    <row r="42" spans="4:5" x14ac:dyDescent="0.35">
      <c r="D42" s="14"/>
      <c r="E42" s="18"/>
    </row>
    <row r="43" spans="4:5" ht="18.5" x14ac:dyDescent="0.45">
      <c r="D43" s="26"/>
      <c r="E43" s="27"/>
    </row>
    <row r="44" spans="4:5" x14ac:dyDescent="0.35">
      <c r="E44" s="18"/>
    </row>
    <row r="45" spans="4:5" x14ac:dyDescent="0.35">
      <c r="E45" s="18"/>
    </row>
    <row r="46" spans="4:5" x14ac:dyDescent="0.35">
      <c r="E46" s="18"/>
    </row>
    <row r="47" spans="4:5" x14ac:dyDescent="0.35">
      <c r="E47" s="18"/>
    </row>
  </sheetData>
  <mergeCells count="1">
    <mergeCell ref="G4:H4"/>
  </mergeCells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topLeftCell="A13" workbookViewId="0">
      <selection activeCell="E37" sqref="E37"/>
    </sheetView>
  </sheetViews>
  <sheetFormatPr defaultColWidth="11.453125" defaultRowHeight="14.5" x14ac:dyDescent="0.35"/>
  <cols>
    <col min="2" max="2" width="31.26953125" customWidth="1"/>
    <col min="3" max="3" width="17.453125" style="29" bestFit="1" customWidth="1"/>
    <col min="5" max="5" width="16.7265625" bestFit="1" customWidth="1"/>
  </cols>
  <sheetData>
    <row r="1" spans="1:4" ht="23.25" customHeight="1" thickBot="1" x14ac:dyDescent="0.6">
      <c r="A1" s="60" t="s">
        <v>23</v>
      </c>
      <c r="B1" s="61"/>
    </row>
    <row r="2" spans="1:4" s="1" customFormat="1" ht="18.5" x14ac:dyDescent="0.45">
      <c r="A2" s="59" t="s">
        <v>24</v>
      </c>
      <c r="B2" s="59" t="s">
        <v>25</v>
      </c>
      <c r="C2" s="55" t="s">
        <v>26</v>
      </c>
      <c r="D2" s="2"/>
    </row>
    <row r="3" spans="1:4" x14ac:dyDescent="0.35">
      <c r="A3" s="56"/>
      <c r="B3" s="56" t="s">
        <v>27</v>
      </c>
      <c r="C3" s="57">
        <f>450*2</f>
        <v>900</v>
      </c>
      <c r="D3" s="56"/>
    </row>
    <row r="4" spans="1:4" x14ac:dyDescent="0.35">
      <c r="A4" s="56"/>
      <c r="B4" s="56" t="s">
        <v>28</v>
      </c>
      <c r="C4" s="57">
        <v>1500</v>
      </c>
      <c r="D4" s="56"/>
    </row>
    <row r="5" spans="1:4" x14ac:dyDescent="0.35">
      <c r="A5" s="56"/>
      <c r="B5" s="56" t="s">
        <v>29</v>
      </c>
      <c r="C5" s="57">
        <v>2000</v>
      </c>
      <c r="D5" s="56"/>
    </row>
    <row r="6" spans="1:4" x14ac:dyDescent="0.35">
      <c r="A6" s="56"/>
      <c r="B6" s="56" t="s">
        <v>30</v>
      </c>
      <c r="C6" s="57">
        <v>2000</v>
      </c>
      <c r="D6" s="56"/>
    </row>
    <row r="7" spans="1:4" x14ac:dyDescent="0.35">
      <c r="A7" s="56"/>
      <c r="B7" s="56" t="s">
        <v>31</v>
      </c>
      <c r="C7" s="57">
        <v>535</v>
      </c>
      <c r="D7" s="56"/>
    </row>
    <row r="8" spans="1:4" x14ac:dyDescent="0.35">
      <c r="A8" s="56"/>
      <c r="B8" s="56" t="s">
        <v>32</v>
      </c>
      <c r="C8" s="57">
        <v>1600</v>
      </c>
      <c r="D8" s="56"/>
    </row>
    <row r="9" spans="1:4" x14ac:dyDescent="0.35">
      <c r="A9" s="56"/>
      <c r="B9" s="56" t="s">
        <v>33</v>
      </c>
      <c r="C9" s="57">
        <v>700</v>
      </c>
      <c r="D9" s="56"/>
    </row>
    <row r="10" spans="1:4" x14ac:dyDescent="0.35">
      <c r="A10" s="56"/>
      <c r="B10" s="56" t="s">
        <v>34</v>
      </c>
      <c r="C10" s="57">
        <v>2000</v>
      </c>
      <c r="D10" s="56"/>
    </row>
    <row r="11" spans="1:4" x14ac:dyDescent="0.35">
      <c r="A11" s="56"/>
      <c r="B11" s="56" t="s">
        <v>35</v>
      </c>
      <c r="C11" s="57">
        <f>(14000*5.5)/100</f>
        <v>770</v>
      </c>
      <c r="D11" s="56"/>
    </row>
    <row r="12" spans="1:4" x14ac:dyDescent="0.35">
      <c r="A12" s="56"/>
      <c r="B12" s="56" t="s">
        <v>36</v>
      </c>
      <c r="C12" s="57">
        <f>(25000*5.5)/100</f>
        <v>1375</v>
      </c>
      <c r="D12" s="56"/>
    </row>
    <row r="13" spans="1:4" x14ac:dyDescent="0.35">
      <c r="A13" s="56"/>
      <c r="B13" s="56" t="s">
        <v>37</v>
      </c>
      <c r="C13" s="57">
        <f>(34000*5.5)/100</f>
        <v>1870</v>
      </c>
      <c r="D13" s="56"/>
    </row>
    <row r="14" spans="1:4" x14ac:dyDescent="0.35">
      <c r="A14" s="56"/>
      <c r="B14" s="56" t="s">
        <v>38</v>
      </c>
      <c r="C14" s="57">
        <v>1200</v>
      </c>
      <c r="D14" s="56"/>
    </row>
    <row r="15" spans="1:4" x14ac:dyDescent="0.35">
      <c r="A15" s="56"/>
      <c r="B15" s="56" t="s">
        <v>39</v>
      </c>
      <c r="C15" s="57">
        <v>469</v>
      </c>
      <c r="D15" s="56"/>
    </row>
    <row r="16" spans="1:4" x14ac:dyDescent="0.35">
      <c r="A16" s="56"/>
      <c r="B16" s="56" t="s">
        <v>40</v>
      </c>
      <c r="C16" s="57">
        <v>240</v>
      </c>
      <c r="D16" s="56"/>
    </row>
    <row r="17" spans="1:4" x14ac:dyDescent="0.35">
      <c r="A17" s="56"/>
      <c r="B17" s="56" t="s">
        <v>41</v>
      </c>
      <c r="C17" s="57">
        <f>(2490*5.5)/100</f>
        <v>136.94999999999999</v>
      </c>
      <c r="D17" s="56"/>
    </row>
    <row r="18" spans="1:4" x14ac:dyDescent="0.35">
      <c r="A18" s="56"/>
      <c r="B18" s="56" t="s">
        <v>42</v>
      </c>
      <c r="C18" s="57">
        <v>500</v>
      </c>
      <c r="D18" s="56"/>
    </row>
    <row r="19" spans="1:4" x14ac:dyDescent="0.35">
      <c r="A19" s="56"/>
      <c r="B19" s="56" t="s">
        <v>43</v>
      </c>
      <c r="C19" s="57">
        <v>300</v>
      </c>
      <c r="D19" s="56"/>
    </row>
    <row r="20" spans="1:4" x14ac:dyDescent="0.35">
      <c r="A20" s="56"/>
      <c r="B20" s="56" t="s">
        <v>44</v>
      </c>
      <c r="C20" s="57">
        <v>500</v>
      </c>
      <c r="D20" s="56"/>
    </row>
    <row r="21" spans="1:4" x14ac:dyDescent="0.35">
      <c r="A21" s="56"/>
      <c r="B21" s="56" t="s">
        <v>45</v>
      </c>
      <c r="C21" s="57">
        <f>(14000*5.5)/100</f>
        <v>770</v>
      </c>
      <c r="D21" s="56"/>
    </row>
    <row r="22" spans="1:4" x14ac:dyDescent="0.35">
      <c r="A22" s="56"/>
      <c r="B22" s="56" t="s">
        <v>46</v>
      </c>
      <c r="C22" s="57"/>
      <c r="D22" s="58" t="s">
        <v>47</v>
      </c>
    </row>
    <row r="23" spans="1:4" x14ac:dyDescent="0.35">
      <c r="A23" s="56"/>
      <c r="B23" s="56" t="s">
        <v>48</v>
      </c>
      <c r="C23" s="57">
        <v>3600</v>
      </c>
      <c r="D23" s="56"/>
    </row>
    <row r="24" spans="1:4" x14ac:dyDescent="0.35">
      <c r="A24" s="56"/>
      <c r="B24" s="56" t="s">
        <v>49</v>
      </c>
      <c r="C24" s="57">
        <v>1800</v>
      </c>
      <c r="D24" s="56"/>
    </row>
    <row r="25" spans="1:4" x14ac:dyDescent="0.35">
      <c r="A25" s="56"/>
      <c r="B25" s="56" t="s">
        <v>50</v>
      </c>
      <c r="C25" s="57">
        <v>9817</v>
      </c>
      <c r="D25" s="56"/>
    </row>
    <row r="26" spans="1:4" x14ac:dyDescent="0.35">
      <c r="A26" s="56"/>
      <c r="B26" s="56" t="s">
        <v>51</v>
      </c>
      <c r="C26" s="57">
        <v>10000</v>
      </c>
      <c r="D26" s="56"/>
    </row>
    <row r="27" spans="1:4" x14ac:dyDescent="0.35">
      <c r="A27" s="56"/>
      <c r="B27" s="56" t="s">
        <v>52</v>
      </c>
      <c r="C27" s="57">
        <f>(2200*2)</f>
        <v>4400</v>
      </c>
      <c r="D27" s="56"/>
    </row>
    <row r="28" spans="1:4" x14ac:dyDescent="0.35">
      <c r="A28" s="56"/>
      <c r="B28" s="56" t="s">
        <v>53</v>
      </c>
      <c r="C28" s="57">
        <v>6423.1</v>
      </c>
      <c r="D28" s="56"/>
    </row>
    <row r="29" spans="1:4" x14ac:dyDescent="0.35">
      <c r="A29" s="56"/>
      <c r="B29" s="56" t="s">
        <v>54</v>
      </c>
      <c r="C29" s="57"/>
      <c r="D29" s="58" t="s">
        <v>47</v>
      </c>
    </row>
    <row r="30" spans="1:4" x14ac:dyDescent="0.35">
      <c r="A30" s="56"/>
      <c r="B30" s="56" t="s">
        <v>55</v>
      </c>
      <c r="C30" s="57">
        <v>299.2</v>
      </c>
      <c r="D30" s="56"/>
    </row>
    <row r="31" spans="1:4" x14ac:dyDescent="0.35">
      <c r="A31" s="56"/>
      <c r="B31" s="56" t="s">
        <v>56</v>
      </c>
      <c r="C31" s="57">
        <v>1200</v>
      </c>
      <c r="D31" s="56"/>
    </row>
    <row r="32" spans="1:4" x14ac:dyDescent="0.35">
      <c r="A32" s="56"/>
      <c r="B32" s="56" t="s">
        <v>57</v>
      </c>
      <c r="C32" s="57">
        <f>(10000*5.5)/100</f>
        <v>550</v>
      </c>
      <c r="D32" s="56"/>
    </row>
    <row r="33" spans="1:5" x14ac:dyDescent="0.35">
      <c r="A33" s="56"/>
      <c r="B33" s="56" t="s">
        <v>58</v>
      </c>
      <c r="C33" s="57">
        <v>419.4</v>
      </c>
      <c r="D33" s="56"/>
    </row>
    <row r="34" spans="1:5" x14ac:dyDescent="0.35">
      <c r="A34" s="56"/>
      <c r="B34" s="56" t="s">
        <v>59</v>
      </c>
      <c r="C34" s="57">
        <f>(1724.85*4)</f>
        <v>6899.4</v>
      </c>
      <c r="D34" s="56"/>
    </row>
    <row r="35" spans="1:5" x14ac:dyDescent="0.35">
      <c r="A35" s="56"/>
      <c r="B35" s="56" t="s">
        <v>60</v>
      </c>
      <c r="C35" s="57">
        <v>25000</v>
      </c>
      <c r="D35" s="56"/>
    </row>
    <row r="36" spans="1:5" x14ac:dyDescent="0.35">
      <c r="A36" s="56"/>
      <c r="B36" s="56" t="s">
        <v>61</v>
      </c>
      <c r="C36" s="57">
        <f>6500*2</f>
        <v>13000</v>
      </c>
      <c r="D36" s="56"/>
    </row>
    <row r="37" spans="1:5" x14ac:dyDescent="0.35">
      <c r="A37" s="56"/>
      <c r="B37" s="56" t="s">
        <v>62</v>
      </c>
      <c r="C37" s="57">
        <f>(3990*5.5)/100</f>
        <v>219.45</v>
      </c>
      <c r="D37" s="56"/>
    </row>
    <row r="38" spans="1:5" x14ac:dyDescent="0.35">
      <c r="A38" s="56"/>
      <c r="B38" s="56" t="s">
        <v>63</v>
      </c>
      <c r="C38" s="57">
        <v>1399</v>
      </c>
      <c r="D38" s="56"/>
    </row>
    <row r="39" spans="1:5" x14ac:dyDescent="0.35">
      <c r="A39" s="56"/>
      <c r="B39" s="56" t="s">
        <v>64</v>
      </c>
      <c r="C39" s="57">
        <f>800*2</f>
        <v>1600</v>
      </c>
      <c r="D39" s="56"/>
    </row>
    <row r="40" spans="1:5" x14ac:dyDescent="0.35">
      <c r="A40" s="56"/>
      <c r="B40" s="56" t="s">
        <v>65</v>
      </c>
      <c r="C40" s="57">
        <v>1100</v>
      </c>
      <c r="D40" s="56"/>
    </row>
    <row r="41" spans="1:5" x14ac:dyDescent="0.35">
      <c r="A41" s="56"/>
      <c r="B41" s="56" t="s">
        <v>66</v>
      </c>
      <c r="C41" s="57">
        <v>800</v>
      </c>
      <c r="D41" s="56"/>
    </row>
    <row r="42" spans="1:5" x14ac:dyDescent="0.35">
      <c r="A42" s="56"/>
      <c r="B42" s="56" t="s">
        <v>67</v>
      </c>
      <c r="C42" s="57">
        <f>(2000*5.5)/100</f>
        <v>110</v>
      </c>
      <c r="D42" s="56"/>
    </row>
    <row r="43" spans="1:5" x14ac:dyDescent="0.35">
      <c r="A43" s="56"/>
      <c r="B43" s="56" t="s">
        <v>68</v>
      </c>
      <c r="C43" s="57">
        <v>1600</v>
      </c>
      <c r="D43" s="56"/>
    </row>
    <row r="44" spans="1:5" x14ac:dyDescent="0.35">
      <c r="A44" s="56"/>
      <c r="B44" s="56"/>
      <c r="C44" s="57"/>
      <c r="D44" s="56"/>
    </row>
    <row r="45" spans="1:5" x14ac:dyDescent="0.35">
      <c r="A45" s="56"/>
      <c r="B45" s="56" t="s">
        <v>69</v>
      </c>
      <c r="C45" s="57">
        <v>4500</v>
      </c>
      <c r="D45" s="56"/>
    </row>
    <row r="46" spans="1:5" x14ac:dyDescent="0.35">
      <c r="A46" s="56"/>
      <c r="B46" s="56" t="s">
        <v>70</v>
      </c>
      <c r="C46" s="57">
        <f>400*6</f>
        <v>2400</v>
      </c>
      <c r="D46" s="56"/>
    </row>
    <row r="47" spans="1:5" ht="15" thickBot="1" x14ac:dyDescent="0.4">
      <c r="A47" s="56"/>
      <c r="B47" s="56"/>
      <c r="C47" s="57"/>
      <c r="D47" s="56"/>
    </row>
    <row r="48" spans="1:5" s="62" customFormat="1" ht="19" thickBot="1" x14ac:dyDescent="0.5">
      <c r="C48" s="67">
        <f>SUM(C3:C46)</f>
        <v>116502.49999999999</v>
      </c>
      <c r="E48" s="63">
        <f>C48/38</f>
        <v>3065.8552631578946</v>
      </c>
    </row>
    <row r="51" spans="10:10" x14ac:dyDescent="0.35">
      <c r="J51" s="14"/>
    </row>
  </sheetData>
  <sortState xmlns:xlrd2="http://schemas.microsoft.com/office/spreadsheetml/2017/richdata2" ref="B2:B26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workbookViewId="0">
      <selection activeCell="C17" sqref="C17"/>
    </sheetView>
  </sheetViews>
  <sheetFormatPr defaultColWidth="11.453125" defaultRowHeight="14.5" x14ac:dyDescent="0.35"/>
  <cols>
    <col min="1" max="1" width="33.1796875" customWidth="1"/>
    <col min="4" max="4" width="14" customWidth="1"/>
    <col min="5" max="5" width="15.1796875" customWidth="1"/>
  </cols>
  <sheetData>
    <row r="1" spans="1:8" ht="18.5" x14ac:dyDescent="0.45">
      <c r="A1" s="2" t="s">
        <v>0</v>
      </c>
      <c r="B1" s="1"/>
      <c r="C1" s="1"/>
      <c r="D1" s="10"/>
      <c r="E1" s="4"/>
      <c r="F1" s="1"/>
      <c r="G1" s="16"/>
      <c r="H1" s="16"/>
    </row>
    <row r="2" spans="1:8" ht="18.5" x14ac:dyDescent="0.45">
      <c r="A2" s="3" t="s">
        <v>71</v>
      </c>
      <c r="B2" s="1"/>
      <c r="C2" s="1"/>
      <c r="D2" s="10"/>
      <c r="E2" s="4"/>
      <c r="F2" s="1"/>
      <c r="G2" s="16"/>
      <c r="H2" s="16"/>
    </row>
    <row r="3" spans="1:8" ht="18.5" x14ac:dyDescent="0.45">
      <c r="A3" s="3"/>
      <c r="B3" s="3"/>
      <c r="C3" s="3"/>
      <c r="D3" s="11"/>
      <c r="E3" s="4"/>
      <c r="F3" s="1"/>
      <c r="G3" s="16"/>
      <c r="H3" s="16"/>
    </row>
    <row r="4" spans="1:8" x14ac:dyDescent="0.35">
      <c r="D4" s="12"/>
      <c r="E4" s="5"/>
      <c r="G4" s="132" t="s">
        <v>2</v>
      </c>
      <c r="H4" s="132"/>
    </row>
    <row r="5" spans="1:8" ht="18.5" x14ac:dyDescent="0.45">
      <c r="A5" s="1" t="s">
        <v>3</v>
      </c>
      <c r="B5" s="1"/>
      <c r="C5" s="1"/>
      <c r="D5" s="15" t="s">
        <v>4</v>
      </c>
      <c r="E5" s="9" t="s">
        <v>5</v>
      </c>
      <c r="F5" s="1"/>
      <c r="G5" s="13" t="s">
        <v>4</v>
      </c>
      <c r="H5" s="28" t="s">
        <v>5</v>
      </c>
    </row>
    <row r="6" spans="1:8" x14ac:dyDescent="0.35">
      <c r="A6" t="s">
        <v>72</v>
      </c>
      <c r="D6" s="66"/>
      <c r="E6" s="40">
        <f>200-32.54</f>
        <v>167.46</v>
      </c>
      <c r="F6" t="s">
        <v>12</v>
      </c>
      <c r="G6" s="14"/>
      <c r="H6" s="14"/>
    </row>
    <row r="7" spans="1:8" x14ac:dyDescent="0.35">
      <c r="A7" t="s">
        <v>73</v>
      </c>
      <c r="D7" s="64">
        <f>7900-1422</f>
        <v>6478</v>
      </c>
      <c r="E7" s="41"/>
      <c r="F7" t="s">
        <v>12</v>
      </c>
      <c r="G7" s="14"/>
      <c r="H7" s="14"/>
    </row>
    <row r="8" spans="1:8" x14ac:dyDescent="0.35">
      <c r="A8" t="s">
        <v>74</v>
      </c>
      <c r="D8" s="64"/>
      <c r="E8" s="41">
        <v>252</v>
      </c>
      <c r="F8" t="s">
        <v>10</v>
      </c>
      <c r="G8" s="14"/>
      <c r="H8" s="14"/>
    </row>
    <row r="9" spans="1:8" x14ac:dyDescent="0.35">
      <c r="A9" t="s">
        <v>75</v>
      </c>
      <c r="D9" s="64"/>
      <c r="E9" s="42">
        <f>123.4-15.51</f>
        <v>107.89</v>
      </c>
      <c r="F9" t="s">
        <v>12</v>
      </c>
      <c r="G9" s="14"/>
      <c r="H9" s="14"/>
    </row>
    <row r="10" spans="1:8" x14ac:dyDescent="0.35">
      <c r="D10" s="64"/>
      <c r="E10" s="42"/>
      <c r="G10" s="14"/>
      <c r="H10" s="14"/>
    </row>
    <row r="11" spans="1:8" x14ac:dyDescent="0.35">
      <c r="A11" t="s">
        <v>76</v>
      </c>
      <c r="D11" s="64"/>
      <c r="E11" s="41">
        <v>156</v>
      </c>
      <c r="F11" t="s">
        <v>10</v>
      </c>
      <c r="G11" s="14"/>
      <c r="H11" s="14"/>
    </row>
    <row r="12" spans="1:8" x14ac:dyDescent="0.35">
      <c r="D12" s="65"/>
      <c r="E12" s="43"/>
      <c r="G12" s="14"/>
      <c r="H12" s="14"/>
    </row>
    <row r="13" spans="1:8" x14ac:dyDescent="0.35">
      <c r="A13" s="7" t="s">
        <v>14</v>
      </c>
      <c r="D13" s="33">
        <f>SUM(D6:D11)</f>
        <v>6478</v>
      </c>
      <c r="E13" s="44">
        <f>SUM(E6:E11)</f>
        <v>683.35</v>
      </c>
      <c r="G13" s="14"/>
      <c r="H13" s="14"/>
    </row>
    <row r="14" spans="1:8" x14ac:dyDescent="0.35">
      <c r="A14" s="6" t="s">
        <v>15</v>
      </c>
      <c r="D14" s="34">
        <f>(D13*0.25)</f>
        <v>1619.5</v>
      </c>
      <c r="E14" s="45">
        <f>(E13*0.25)</f>
        <v>170.83750000000001</v>
      </c>
      <c r="G14" s="14"/>
      <c r="H14" s="14"/>
    </row>
    <row r="15" spans="1:8" x14ac:dyDescent="0.35">
      <c r="D15" s="35">
        <f>(D13-D14)</f>
        <v>4858.5</v>
      </c>
      <c r="E15" s="46">
        <f>(E13-E14)</f>
        <v>512.51250000000005</v>
      </c>
      <c r="G15" s="14"/>
      <c r="H15" s="14"/>
    </row>
    <row r="16" spans="1:8" x14ac:dyDescent="0.35">
      <c r="A16" t="s">
        <v>16</v>
      </c>
      <c r="B16">
        <v>5</v>
      </c>
      <c r="C16">
        <v>450</v>
      </c>
      <c r="D16" s="36">
        <f>(B16*C16)</f>
        <v>2250</v>
      </c>
      <c r="E16" s="47"/>
      <c r="G16" s="14">
        <f>SUM(G6:G15)</f>
        <v>0</v>
      </c>
      <c r="H16" s="14">
        <f>SUM(H6:H15)</f>
        <v>0</v>
      </c>
    </row>
    <row r="17" spans="1:8" x14ac:dyDescent="0.35">
      <c r="A17" t="s">
        <v>17</v>
      </c>
      <c r="B17">
        <v>5</v>
      </c>
      <c r="C17">
        <v>420</v>
      </c>
      <c r="D17" s="36">
        <f>(B17*C17)</f>
        <v>2100</v>
      </c>
      <c r="E17" s="47"/>
      <c r="G17" s="14"/>
      <c r="H17" s="14"/>
    </row>
    <row r="18" spans="1:8" x14ac:dyDescent="0.35">
      <c r="A18" t="s">
        <v>18</v>
      </c>
      <c r="B18">
        <v>1</v>
      </c>
      <c r="C18">
        <v>800</v>
      </c>
      <c r="D18" s="36">
        <f>B18*C18</f>
        <v>800</v>
      </c>
      <c r="E18" s="47"/>
      <c r="G18" s="14"/>
      <c r="H18" s="14"/>
    </row>
    <row r="19" spans="1:8" x14ac:dyDescent="0.35">
      <c r="A19" t="s">
        <v>19</v>
      </c>
      <c r="B19">
        <v>1</v>
      </c>
      <c r="C19">
        <v>700</v>
      </c>
      <c r="D19" s="37">
        <f>B19*C19</f>
        <v>700</v>
      </c>
      <c r="E19" s="47"/>
      <c r="G19" s="14"/>
      <c r="H19" s="14"/>
    </row>
    <row r="20" spans="1:8" x14ac:dyDescent="0.35">
      <c r="D20" s="36">
        <f>SUM(D16:D19)</f>
        <v>5850</v>
      </c>
      <c r="E20" s="47"/>
      <c r="G20" s="14"/>
      <c r="H20" s="14"/>
    </row>
    <row r="21" spans="1:8" x14ac:dyDescent="0.35">
      <c r="D21" s="36"/>
      <c r="E21" s="47"/>
      <c r="F21" s="14"/>
      <c r="G21" s="14"/>
      <c r="H21" s="14"/>
    </row>
    <row r="22" spans="1:8" x14ac:dyDescent="0.35">
      <c r="A22" s="50" t="s">
        <v>20</v>
      </c>
      <c r="D22" s="38">
        <f>D15-D20</f>
        <v>-991.5</v>
      </c>
      <c r="E22" s="48">
        <f>(E15-E16-E17-E18)</f>
        <v>512.51250000000005</v>
      </c>
      <c r="F22" s="14"/>
      <c r="G22" s="14"/>
      <c r="H22" s="14"/>
    </row>
    <row r="23" spans="1:8" x14ac:dyDescent="0.35">
      <c r="A23" t="s">
        <v>21</v>
      </c>
      <c r="D23" s="39"/>
      <c r="E23" s="49"/>
      <c r="F23" s="14"/>
      <c r="G23" s="14"/>
      <c r="H23" s="14"/>
    </row>
    <row r="24" spans="1:8" x14ac:dyDescent="0.35">
      <c r="D24" s="12"/>
      <c r="E24" s="5"/>
      <c r="G24" s="14"/>
      <c r="H24" s="14"/>
    </row>
    <row r="25" spans="1:8" ht="18.5" x14ac:dyDescent="0.45">
      <c r="A25" s="8" t="s">
        <v>22</v>
      </c>
      <c r="D25" s="52">
        <f>D22-D23</f>
        <v>-991.5</v>
      </c>
      <c r="E25" s="51">
        <f>E22-E23</f>
        <v>512.51250000000005</v>
      </c>
      <c r="G25" s="14"/>
      <c r="H25" s="14"/>
    </row>
    <row r="26" spans="1:8" ht="18.5" x14ac:dyDescent="0.45">
      <c r="D26" s="16"/>
      <c r="E26" s="17"/>
      <c r="G26" s="14"/>
      <c r="H26" s="14"/>
    </row>
    <row r="27" spans="1:8" ht="18.5" x14ac:dyDescent="0.45">
      <c r="D27" s="16"/>
      <c r="E27" s="17"/>
      <c r="G27" s="14"/>
      <c r="H27" s="14"/>
    </row>
    <row r="28" spans="1:8" ht="15.5" x14ac:dyDescent="0.35">
      <c r="A28" s="8"/>
      <c r="E28" s="53"/>
      <c r="G28" s="14"/>
      <c r="H28" s="14"/>
    </row>
    <row r="29" spans="1:8" x14ac:dyDescent="0.35">
      <c r="A29" s="129"/>
      <c r="D29" s="54"/>
      <c r="E29" s="18"/>
      <c r="G29" s="14"/>
      <c r="H29" s="14"/>
    </row>
    <row r="30" spans="1:8" x14ac:dyDescent="0.35">
      <c r="E30" s="18"/>
      <c r="G30" s="14"/>
      <c r="H30" s="14"/>
    </row>
    <row r="31" spans="1:8" ht="18.5" x14ac:dyDescent="0.45">
      <c r="E31" s="27"/>
      <c r="G31" s="14"/>
      <c r="H31" s="14"/>
    </row>
  </sheetData>
  <mergeCells count="1"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3"/>
  <sheetViews>
    <sheetView tabSelected="1" zoomScale="93" zoomScaleNormal="93" workbookViewId="0">
      <selection activeCell="A5" sqref="A5:L6"/>
    </sheetView>
  </sheetViews>
  <sheetFormatPr defaultColWidth="11.453125" defaultRowHeight="14.5" x14ac:dyDescent="0.35"/>
  <cols>
    <col min="1" max="1" width="17.453125" customWidth="1"/>
    <col min="2" max="2" width="32.7265625" customWidth="1"/>
    <col min="3" max="3" width="17.26953125" customWidth="1"/>
    <col min="4" max="4" width="14.81640625" customWidth="1"/>
    <col min="5" max="5" width="14.26953125" customWidth="1"/>
    <col min="6" max="6" width="25.26953125" customWidth="1"/>
    <col min="7" max="7" width="18.26953125" customWidth="1"/>
    <col min="8" max="8" width="16.7265625" customWidth="1"/>
    <col min="12" max="12" width="36.7265625" customWidth="1"/>
  </cols>
  <sheetData>
    <row r="1" spans="1:12" ht="21" x14ac:dyDescent="0.5">
      <c r="A1" s="86" t="s">
        <v>77</v>
      </c>
    </row>
    <row r="3" spans="1:12" ht="58" x14ac:dyDescent="0.35">
      <c r="A3" s="68" t="s">
        <v>78</v>
      </c>
      <c r="B3" s="69" t="s">
        <v>79</v>
      </c>
      <c r="C3" s="69" t="s">
        <v>80</v>
      </c>
      <c r="D3" s="69" t="s">
        <v>81</v>
      </c>
      <c r="E3" s="69" t="s">
        <v>82</v>
      </c>
      <c r="F3" s="69" t="s">
        <v>83</v>
      </c>
      <c r="G3" s="69" t="s">
        <v>84</v>
      </c>
      <c r="H3" s="69" t="s">
        <v>85</v>
      </c>
      <c r="I3" s="69" t="s">
        <v>86</v>
      </c>
      <c r="J3" s="69" t="s">
        <v>87</v>
      </c>
      <c r="K3" s="69" t="s">
        <v>88</v>
      </c>
      <c r="L3" s="69" t="s">
        <v>89</v>
      </c>
    </row>
    <row r="4" spans="1:12" x14ac:dyDescent="0.35">
      <c r="A4" s="72" t="s">
        <v>90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1"/>
    </row>
    <row r="5" spans="1:12" x14ac:dyDescent="0.35">
      <c r="A5" s="145">
        <v>5</v>
      </c>
      <c r="B5" s="139" t="s">
        <v>91</v>
      </c>
      <c r="C5" s="140">
        <v>45842</v>
      </c>
      <c r="D5" s="140">
        <v>45847</v>
      </c>
      <c r="E5" s="139" t="s">
        <v>92</v>
      </c>
      <c r="F5" s="139" t="s">
        <v>93</v>
      </c>
      <c r="G5" s="141">
        <v>1325000</v>
      </c>
      <c r="H5" s="141">
        <f>-211.87*1355</f>
        <v>-287083.85000000003</v>
      </c>
      <c r="I5" s="141">
        <v>-45000</v>
      </c>
      <c r="J5" s="141">
        <v>0</v>
      </c>
      <c r="K5" s="142">
        <f t="shared" ref="K5:K6" si="0">SUM(G5:J5)</f>
        <v>992916.14999999991</v>
      </c>
      <c r="L5" s="147"/>
    </row>
    <row r="6" spans="1:12" x14ac:dyDescent="0.35">
      <c r="A6" s="138">
        <v>2</v>
      </c>
      <c r="B6" s="148" t="s">
        <v>94</v>
      </c>
      <c r="C6" s="149">
        <v>45863</v>
      </c>
      <c r="D6" s="149">
        <v>45868</v>
      </c>
      <c r="E6" s="148" t="s">
        <v>92</v>
      </c>
      <c r="F6" s="148" t="s">
        <v>93</v>
      </c>
      <c r="G6" s="150">
        <v>824300</v>
      </c>
      <c r="H6" s="150">
        <f>-95.89*1355</f>
        <v>-129930.95</v>
      </c>
      <c r="I6" s="150">
        <v>-45000</v>
      </c>
      <c r="J6" s="150">
        <v>0</v>
      </c>
      <c r="K6" s="142">
        <f t="shared" si="0"/>
        <v>649369.05000000005</v>
      </c>
      <c r="L6" s="143"/>
    </row>
    <row r="7" spans="1:12" x14ac:dyDescent="0.35">
      <c r="A7" s="119" t="s">
        <v>95</v>
      </c>
      <c r="B7" s="88"/>
      <c r="C7" s="112"/>
      <c r="D7" s="112"/>
      <c r="E7" s="88"/>
      <c r="F7" s="88"/>
      <c r="G7" s="113"/>
      <c r="H7" s="113"/>
      <c r="I7" s="91">
        <f>SUM(I5:I6)</f>
        <v>-90000</v>
      </c>
      <c r="J7" s="113"/>
      <c r="K7" s="115">
        <f>SUM(K5:K6)</f>
        <v>1642285.2</v>
      </c>
      <c r="L7" s="114"/>
    </row>
    <row r="8" spans="1:12" x14ac:dyDescent="0.35">
      <c r="A8" s="89" t="s">
        <v>96</v>
      </c>
      <c r="B8" s="110"/>
      <c r="D8" s="110"/>
      <c r="E8" s="110"/>
      <c r="F8" s="110"/>
      <c r="G8" s="111"/>
      <c r="H8" s="111"/>
      <c r="I8" s="111"/>
      <c r="J8" s="111"/>
      <c r="K8" s="81"/>
      <c r="L8" s="71"/>
    </row>
    <row r="9" spans="1:12" x14ac:dyDescent="0.35">
      <c r="A9" s="138">
        <v>3</v>
      </c>
      <c r="B9" s="139" t="s">
        <v>97</v>
      </c>
      <c r="C9" s="140">
        <v>45852</v>
      </c>
      <c r="D9" s="140">
        <v>45855</v>
      </c>
      <c r="E9" s="139" t="s">
        <v>92</v>
      </c>
      <c r="F9" s="139" t="s">
        <v>98</v>
      </c>
      <c r="G9" s="141">
        <v>838</v>
      </c>
      <c r="H9" s="141">
        <f>-192.96</f>
        <v>-192.96</v>
      </c>
      <c r="I9" s="141">
        <v>-35</v>
      </c>
      <c r="J9" s="141">
        <f t="shared" ref="J9:J11" si="1">-G9*0.055</f>
        <v>-46.09</v>
      </c>
      <c r="K9" s="142">
        <f t="shared" ref="K9" si="2">SUM(G9:J9)</f>
        <v>563.94999999999993</v>
      </c>
      <c r="L9" s="143"/>
    </row>
    <row r="10" spans="1:12" ht="13.9" customHeight="1" x14ac:dyDescent="0.35">
      <c r="A10" s="138">
        <v>7</v>
      </c>
      <c r="B10" s="139" t="s">
        <v>99</v>
      </c>
      <c r="C10" s="140">
        <v>45856</v>
      </c>
      <c r="D10" s="140">
        <v>45863</v>
      </c>
      <c r="E10" s="139" t="s">
        <v>92</v>
      </c>
      <c r="F10" s="144" t="s">
        <v>98</v>
      </c>
      <c r="G10" s="141">
        <v>1760</v>
      </c>
      <c r="H10" s="141">
        <f>-316.89</f>
        <v>-316.89</v>
      </c>
      <c r="I10" s="141">
        <v>-35</v>
      </c>
      <c r="J10" s="141">
        <f t="shared" si="1"/>
        <v>-96.8</v>
      </c>
      <c r="K10" s="142">
        <f>SUM(G10:J10)</f>
        <v>1311.3100000000002</v>
      </c>
      <c r="L10" s="143"/>
    </row>
    <row r="11" spans="1:12" x14ac:dyDescent="0.35">
      <c r="A11" s="145">
        <v>5</v>
      </c>
      <c r="B11" s="139" t="s">
        <v>100</v>
      </c>
      <c r="C11" s="140">
        <v>45865</v>
      </c>
      <c r="D11" s="140">
        <v>45870</v>
      </c>
      <c r="E11" s="139" t="s">
        <v>92</v>
      </c>
      <c r="F11" s="139" t="s">
        <v>98</v>
      </c>
      <c r="G11" s="141">
        <f>1151+293.93</f>
        <v>1444.93</v>
      </c>
      <c r="H11" s="141">
        <f>-332.33</f>
        <v>-332.33</v>
      </c>
      <c r="I11" s="141">
        <v>-35</v>
      </c>
      <c r="J11" s="141">
        <f t="shared" si="1"/>
        <v>-79.471150000000009</v>
      </c>
      <c r="K11" s="146">
        <f>SUM(G11:J11)</f>
        <v>998.12885000000017</v>
      </c>
      <c r="L11" s="143"/>
    </row>
    <row r="12" spans="1:12" ht="13.9" customHeight="1" x14ac:dyDescent="0.35">
      <c r="A12" s="90" t="s">
        <v>101</v>
      </c>
      <c r="B12" s="92"/>
      <c r="C12" s="92"/>
      <c r="D12" s="92"/>
      <c r="E12" s="118"/>
      <c r="F12" s="92"/>
      <c r="G12" s="91"/>
      <c r="H12" s="91"/>
      <c r="I12" s="91">
        <f>SUM(I9:I11)</f>
        <v>-105</v>
      </c>
      <c r="J12" s="93"/>
      <c r="K12" s="94">
        <f>SUM(K9:K11)</f>
        <v>2873.3888500000003</v>
      </c>
      <c r="L12" s="116"/>
    </row>
    <row r="13" spans="1:12" x14ac:dyDescent="0.35">
      <c r="A13" s="73"/>
      <c r="B13" s="74"/>
      <c r="C13" s="108"/>
      <c r="D13" s="109"/>
      <c r="E13" s="74"/>
      <c r="F13" s="74"/>
      <c r="G13" s="74"/>
      <c r="H13" s="74"/>
      <c r="I13" s="74"/>
      <c r="J13" s="74"/>
      <c r="K13" s="73"/>
      <c r="L13" s="74"/>
    </row>
    <row r="14" spans="1:12" x14ac:dyDescent="0.35">
      <c r="A14" s="75" t="s">
        <v>102</v>
      </c>
      <c r="B14" s="75"/>
      <c r="C14" s="75" t="s">
        <v>4</v>
      </c>
      <c r="D14" s="75" t="s">
        <v>103</v>
      </c>
      <c r="F14" s="75" t="s">
        <v>104</v>
      </c>
      <c r="G14" s="75"/>
      <c r="H14" s="75" t="s">
        <v>4</v>
      </c>
      <c r="I14" s="75" t="s">
        <v>103</v>
      </c>
      <c r="K14" s="117"/>
    </row>
    <row r="15" spans="1:12" x14ac:dyDescent="0.35">
      <c r="A15" s="56" t="s">
        <v>105</v>
      </c>
      <c r="B15" s="56"/>
      <c r="C15" s="78">
        <f>K7</f>
        <v>1642285.2</v>
      </c>
      <c r="D15" s="78">
        <f>K12</f>
        <v>2873.3888500000003</v>
      </c>
      <c r="F15" s="136" t="s">
        <v>106</v>
      </c>
      <c r="G15" s="137"/>
      <c r="H15" s="78"/>
      <c r="I15" s="126">
        <v>2550.0700000000002</v>
      </c>
    </row>
    <row r="16" spans="1:12" x14ac:dyDescent="0.35">
      <c r="A16" s="56" t="s">
        <v>107</v>
      </c>
      <c r="B16" s="56"/>
      <c r="C16" s="78">
        <f>-C15*0.25</f>
        <v>-410571.3</v>
      </c>
      <c r="D16" s="78">
        <f>-D15*0.25</f>
        <v>-718.34721250000007</v>
      </c>
      <c r="F16" s="136" t="s">
        <v>108</v>
      </c>
      <c r="G16" s="137"/>
      <c r="H16" s="78"/>
      <c r="I16" s="78"/>
    </row>
    <row r="17" spans="1:11" x14ac:dyDescent="0.35">
      <c r="C17" s="14"/>
      <c r="D17" s="14"/>
      <c r="F17" s="56" t="s">
        <v>109</v>
      </c>
      <c r="G17" s="56"/>
      <c r="H17" s="107"/>
      <c r="I17" s="56"/>
    </row>
    <row r="18" spans="1:11" x14ac:dyDescent="0.35">
      <c r="A18" s="75" t="s">
        <v>110</v>
      </c>
      <c r="B18" s="75"/>
      <c r="C18" s="79"/>
      <c r="D18" s="79"/>
      <c r="F18" s="98" t="s">
        <v>111</v>
      </c>
      <c r="G18" s="98"/>
      <c r="H18" s="107"/>
      <c r="I18" s="78"/>
    </row>
    <row r="19" spans="1:11" x14ac:dyDescent="0.35">
      <c r="A19" s="76" t="s">
        <v>112</v>
      </c>
      <c r="B19" s="77"/>
      <c r="C19" s="78">
        <v>90000</v>
      </c>
      <c r="D19" s="78">
        <v>105</v>
      </c>
      <c r="F19" s="76" t="s">
        <v>113</v>
      </c>
      <c r="G19" s="77"/>
      <c r="H19" s="125"/>
      <c r="I19" s="78"/>
      <c r="K19" s="14"/>
    </row>
    <row r="20" spans="1:11" x14ac:dyDescent="0.35">
      <c r="A20" s="76" t="s">
        <v>114</v>
      </c>
      <c r="B20" s="77"/>
      <c r="C20" s="78">
        <f>-45000*2</f>
        <v>-90000</v>
      </c>
      <c r="D20" s="78">
        <f>-35*3</f>
        <v>-105</v>
      </c>
      <c r="F20" s="99" t="s">
        <v>115</v>
      </c>
      <c r="G20" s="99"/>
      <c r="H20" s="126">
        <v>232616.92</v>
      </c>
      <c r="I20" s="78"/>
    </row>
    <row r="21" spans="1:11" x14ac:dyDescent="0.35">
      <c r="A21" s="75" t="s">
        <v>116</v>
      </c>
      <c r="B21" s="75"/>
      <c r="C21" s="79">
        <f>C19+C20</f>
        <v>0</v>
      </c>
      <c r="D21" s="79">
        <f>SUM(D19:D20)</f>
        <v>0</v>
      </c>
      <c r="H21" s="14"/>
      <c r="I21" s="14"/>
    </row>
    <row r="22" spans="1:11" x14ac:dyDescent="0.35">
      <c r="A22" s="73"/>
      <c r="B22" s="73"/>
      <c r="C22" s="80"/>
      <c r="D22" s="80"/>
      <c r="F22" s="87" t="s">
        <v>117</v>
      </c>
      <c r="G22" s="75"/>
      <c r="H22" s="75" t="s">
        <v>4</v>
      </c>
      <c r="I22" s="75" t="s">
        <v>103</v>
      </c>
    </row>
    <row r="23" spans="1:11" x14ac:dyDescent="0.35">
      <c r="A23" s="75" t="s">
        <v>118</v>
      </c>
      <c r="B23" s="75"/>
      <c r="C23" s="79"/>
      <c r="D23" s="79"/>
      <c r="F23" s="136" t="s">
        <v>106</v>
      </c>
      <c r="G23" s="137"/>
      <c r="H23" s="78"/>
      <c r="I23" s="78"/>
    </row>
    <row r="24" spans="1:11" x14ac:dyDescent="0.35">
      <c r="A24" s="76" t="s">
        <v>119</v>
      </c>
      <c r="B24" s="77"/>
      <c r="C24" s="78">
        <v>-25000</v>
      </c>
      <c r="D24" s="78"/>
      <c r="F24" s="136" t="s">
        <v>108</v>
      </c>
      <c r="G24" s="137"/>
      <c r="H24" s="78"/>
      <c r="I24" s="78"/>
    </row>
    <row r="25" spans="1:11" x14ac:dyDescent="0.35">
      <c r="A25" s="76" t="s">
        <v>120</v>
      </c>
      <c r="B25" s="77"/>
      <c r="C25" s="78">
        <v>-28000</v>
      </c>
      <c r="D25" s="78"/>
      <c r="F25" s="100" t="s">
        <v>109</v>
      </c>
      <c r="G25" s="101"/>
      <c r="H25" s="78">
        <f>(K5+K6)*FACTORPESOS</f>
        <v>1178713.8999999999</v>
      </c>
      <c r="I25" s="78"/>
    </row>
    <row r="26" spans="1:11" x14ac:dyDescent="0.35">
      <c r="A26" s="76"/>
      <c r="B26" s="77"/>
      <c r="C26" s="78"/>
      <c r="D26" s="78"/>
      <c r="F26" s="98" t="s">
        <v>121</v>
      </c>
      <c r="G26" s="98"/>
      <c r="H26" s="78"/>
      <c r="I26" s="78"/>
    </row>
    <row r="27" spans="1:11" x14ac:dyDescent="0.35">
      <c r="A27" s="76"/>
      <c r="B27" s="77"/>
      <c r="C27" s="78"/>
      <c r="D27" s="78"/>
      <c r="F27" s="76" t="s">
        <v>113</v>
      </c>
      <c r="G27" s="77"/>
      <c r="H27" s="97"/>
      <c r="I27" s="78">
        <f>(K9+K10+K11)*FACTORUSD</f>
        <v>2155.0416375000004</v>
      </c>
      <c r="K27" s="14"/>
    </row>
    <row r="28" spans="1:11" x14ac:dyDescent="0.35">
      <c r="A28" s="75" t="s">
        <v>122</v>
      </c>
      <c r="B28" s="75"/>
      <c r="C28" s="79">
        <f>SUM(C24:C27)</f>
        <v>-53000</v>
      </c>
      <c r="D28" s="79"/>
      <c r="F28" s="99" t="s">
        <v>115</v>
      </c>
      <c r="G28" s="99"/>
      <c r="H28" s="78"/>
      <c r="I28" s="78"/>
    </row>
    <row r="29" spans="1:11" ht="15" thickBot="1" x14ac:dyDescent="0.4">
      <c r="A29" s="76"/>
      <c r="B29" s="77"/>
      <c r="C29" s="107"/>
      <c r="D29" s="107"/>
      <c r="H29" s="14">
        <f>SUM(H23:H28)-C30</f>
        <v>0</v>
      </c>
      <c r="I29" s="14">
        <f>SUM(I23:I28)-D30</f>
        <v>0</v>
      </c>
    </row>
    <row r="30" spans="1:11" ht="21.5" thickBot="1" x14ac:dyDescent="0.55000000000000004">
      <c r="A30" s="82" t="s">
        <v>123</v>
      </c>
      <c r="B30" s="83"/>
      <c r="C30" s="84">
        <f>C15+C16+C21+C28</f>
        <v>1178713.8999999999</v>
      </c>
      <c r="D30" s="85">
        <f>D15+D16+D21+D28</f>
        <v>2155.0416375000004</v>
      </c>
      <c r="F30" s="87" t="s">
        <v>124</v>
      </c>
      <c r="G30" s="75"/>
      <c r="H30" s="75" t="s">
        <v>4</v>
      </c>
      <c r="I30" s="75" t="s">
        <v>103</v>
      </c>
      <c r="J30" s="14"/>
    </row>
    <row r="31" spans="1:11" s="74" customFormat="1" x14ac:dyDescent="0.35">
      <c r="C31" s="95">
        <f>C30/C15</f>
        <v>0.71772789525229841</v>
      </c>
      <c r="D31" s="95">
        <f>D30/D15</f>
        <v>0.75000000000000011</v>
      </c>
      <c r="F31" s="134" t="s">
        <v>106</v>
      </c>
      <c r="G31" s="135"/>
      <c r="H31" s="96">
        <f>H23+H15</f>
        <v>0</v>
      </c>
      <c r="I31" s="96">
        <f>I23+I15</f>
        <v>2550.0700000000002</v>
      </c>
    </row>
    <row r="32" spans="1:11" x14ac:dyDescent="0.35">
      <c r="F32" s="134" t="s">
        <v>108</v>
      </c>
      <c r="G32" s="135"/>
      <c r="H32" s="96"/>
      <c r="I32" s="96">
        <f>I24+I16</f>
        <v>0</v>
      </c>
    </row>
    <row r="33" spans="6:11" x14ac:dyDescent="0.35">
      <c r="F33" s="130" t="s">
        <v>109</v>
      </c>
      <c r="G33" s="131"/>
      <c r="H33" s="96">
        <f>SUM(H25+H17)</f>
        <v>1178713.8999999999</v>
      </c>
      <c r="I33" s="96"/>
    </row>
    <row r="34" spans="6:11" x14ac:dyDescent="0.35">
      <c r="F34" s="103" t="s">
        <v>121</v>
      </c>
      <c r="G34" s="103"/>
      <c r="H34" s="96"/>
      <c r="I34" s="96">
        <f>SUM(I26+I18)</f>
        <v>0</v>
      </c>
    </row>
    <row r="35" spans="6:11" x14ac:dyDescent="0.35">
      <c r="F35" s="105" t="s">
        <v>113</v>
      </c>
      <c r="G35" s="106"/>
      <c r="H35" s="102">
        <f>SUM(H19)</f>
        <v>0</v>
      </c>
      <c r="I35" s="96">
        <f>I27+I19</f>
        <v>2155.0416375000004</v>
      </c>
    </row>
    <row r="36" spans="6:11" x14ac:dyDescent="0.35">
      <c r="F36" s="104" t="s">
        <v>115</v>
      </c>
      <c r="G36" s="104"/>
      <c r="H36" s="96">
        <f>H20</f>
        <v>232616.92</v>
      </c>
      <c r="I36" s="96"/>
    </row>
    <row r="37" spans="6:11" x14ac:dyDescent="0.35">
      <c r="F37" s="88"/>
      <c r="G37" s="88"/>
      <c r="H37" s="91">
        <f>SUM(H31:H36)</f>
        <v>1411330.8199999998</v>
      </c>
      <c r="I37" s="91">
        <f>SUM(I31:I36)</f>
        <v>4705.1116375000001</v>
      </c>
    </row>
    <row r="38" spans="6:11" x14ac:dyDescent="0.35">
      <c r="F38" s="127" t="s">
        <v>93</v>
      </c>
      <c r="G38" s="127" t="s">
        <v>125</v>
      </c>
      <c r="H38" s="128">
        <v>-1325000</v>
      </c>
      <c r="I38" s="95"/>
    </row>
    <row r="39" spans="6:11" ht="15" thickBot="1" x14ac:dyDescent="0.4">
      <c r="F39" s="127" t="s">
        <v>93</v>
      </c>
      <c r="G39" s="127" t="s">
        <v>126</v>
      </c>
      <c r="H39" s="128">
        <v>-824300</v>
      </c>
      <c r="I39" s="95"/>
    </row>
    <row r="40" spans="6:11" s="62" customFormat="1" ht="21.5" thickBot="1" x14ac:dyDescent="0.55000000000000004">
      <c r="F40" s="120"/>
      <c r="G40" s="122" t="s">
        <v>127</v>
      </c>
      <c r="H40" s="123">
        <f>SUM(H37:H39)</f>
        <v>-737969.18000000017</v>
      </c>
      <c r="I40" s="124">
        <f>I37</f>
        <v>4705.1116375000001</v>
      </c>
      <c r="K40" s="121"/>
    </row>
    <row r="41" spans="6:11" x14ac:dyDescent="0.35">
      <c r="F41" s="133"/>
      <c r="G41" s="133"/>
      <c r="H41" s="14"/>
      <c r="I41" s="14"/>
    </row>
    <row r="42" spans="6:11" x14ac:dyDescent="0.35">
      <c r="H42" s="14"/>
      <c r="I42" s="14"/>
    </row>
    <row r="43" spans="6:11" x14ac:dyDescent="0.35">
      <c r="H43" s="14"/>
      <c r="I43" s="14"/>
    </row>
  </sheetData>
  <mergeCells count="7">
    <mergeCell ref="F41:G41"/>
    <mergeCell ref="F32:G32"/>
    <mergeCell ref="F15:G15"/>
    <mergeCell ref="F16:G16"/>
    <mergeCell ref="F23:G23"/>
    <mergeCell ref="F24:G24"/>
    <mergeCell ref="F31:G31"/>
  </mergeCells>
  <pageMargins left="0.23622047244094491" right="0.23622047244094491" top="0.15748031496062992" bottom="0.15748031496062992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B4" sqref="A1:B4"/>
    </sheetView>
  </sheetViews>
  <sheetFormatPr defaultColWidth="11.453125" defaultRowHeight="14.5" x14ac:dyDescent="0.35"/>
  <cols>
    <col min="2" max="2" width="16.5429687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6" workbookViewId="0"/>
  </sheetViews>
  <sheetFormatPr defaultColWidth="11.4531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ENERO 19</vt:lpstr>
      <vt:lpstr>EQUIPAMIENTO</vt:lpstr>
      <vt:lpstr>FEBRERO 19</vt:lpstr>
      <vt:lpstr>Hoja1</vt:lpstr>
      <vt:lpstr>Hoja2</vt:lpstr>
      <vt:lpstr>Hoja3</vt:lpstr>
      <vt:lpstr>FACTORPESOS</vt:lpstr>
      <vt:lpstr>FACTORUSD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Federico Aldao</cp:lastModifiedBy>
  <cp:revision/>
  <dcterms:created xsi:type="dcterms:W3CDTF">2024-01-12T16:30:17Z</dcterms:created>
  <dcterms:modified xsi:type="dcterms:W3CDTF">2025-10-30T13:53:19Z</dcterms:modified>
  <cp:category/>
  <cp:contentStatus/>
</cp:coreProperties>
</file>