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zheng/Desktop/[2020F] Comp_4710/Project/"/>
    </mc:Choice>
  </mc:AlternateContent>
  <xr:revisionPtr revIDLastSave="0" documentId="13_ncr:1_{3C3BF705-A00B-234C-A8F5-7ACA46777098}" xr6:coauthVersionLast="46" xr6:coauthVersionMax="46" xr10:uidLastSave="{00000000-0000-0000-0000-000000000000}"/>
  <bookViews>
    <workbookView xWindow="2100" yWindow="500" windowWidth="36080" windowHeight="21100" xr2:uid="{84CDD00B-1EB1-6943-A855-8F37C8EAEB98}"/>
  </bookViews>
  <sheets>
    <sheet name="Employment 18-20" sheetId="5" r:id="rId1"/>
    <sheet name="Keyword Search" sheetId="9" r:id="rId2"/>
    <sheet name="Populatio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5" l="1"/>
  <c r="C75" i="5"/>
  <c r="N65" i="5"/>
  <c r="N64" i="5"/>
  <c r="C74" i="5"/>
  <c r="C73" i="5"/>
  <c r="N57" i="5"/>
  <c r="C72" i="5"/>
  <c r="N54" i="5"/>
  <c r="O75" i="5"/>
  <c r="O74" i="5"/>
  <c r="Q66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7" i="5"/>
  <c r="S65" i="5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3" i="5"/>
  <c r="B19" i="9"/>
  <c r="B18" i="9"/>
  <c r="B17" i="9"/>
  <c r="B16" i="9"/>
  <c r="S45" i="5"/>
  <c r="B18" i="6"/>
  <c r="E17" i="6"/>
  <c r="B17" i="6"/>
  <c r="C17" i="6"/>
  <c r="D17" i="6"/>
  <c r="B20" i="6"/>
  <c r="B19" i="6"/>
  <c r="M17" i="6"/>
  <c r="G17" i="6"/>
  <c r="H17" i="6"/>
  <c r="I17" i="6"/>
  <c r="J17" i="6"/>
  <c r="K17" i="6"/>
  <c r="L17" i="6"/>
  <c r="F17" i="6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R5" i="5"/>
  <c r="Q5" i="5"/>
  <c r="S29" i="5"/>
  <c r="N75" i="5" l="1"/>
  <c r="F73" i="5"/>
  <c r="I73" i="5"/>
  <c r="J73" i="5"/>
  <c r="K73" i="5"/>
  <c r="E73" i="5"/>
  <c r="G73" i="5"/>
  <c r="H73" i="5"/>
  <c r="L73" i="5"/>
  <c r="M73" i="5"/>
  <c r="N73" i="5"/>
  <c r="D73" i="5"/>
  <c r="Q73" i="5" s="1"/>
  <c r="E74" i="5"/>
  <c r="E75" i="5"/>
  <c r="O72" i="5"/>
  <c r="L74" i="5"/>
  <c r="H75" i="5"/>
  <c r="D74" i="5"/>
  <c r="G75" i="5"/>
  <c r="D75" i="5"/>
  <c r="L75" i="5"/>
  <c r="N74" i="5"/>
  <c r="M74" i="5"/>
  <c r="K75" i="5"/>
  <c r="J75" i="5"/>
  <c r="J74" i="5"/>
  <c r="F74" i="5"/>
  <c r="M75" i="5"/>
  <c r="I75" i="5"/>
  <c r="K74" i="5"/>
  <c r="F75" i="5"/>
  <c r="I74" i="5"/>
  <c r="H74" i="5"/>
  <c r="G74" i="5"/>
  <c r="S6" i="5"/>
  <c r="S21" i="5"/>
  <c r="S20" i="5"/>
  <c r="S18" i="5"/>
  <c r="S17" i="5"/>
  <c r="S23" i="5"/>
  <c r="S19" i="5"/>
  <c r="S7" i="5"/>
  <c r="T29" i="5" s="1"/>
  <c r="S14" i="5"/>
  <c r="S15" i="5"/>
  <c r="S8" i="5"/>
  <c r="S12" i="5"/>
  <c r="S5" i="5"/>
  <c r="S13" i="5"/>
  <c r="S10" i="5"/>
  <c r="S9" i="5"/>
  <c r="S22" i="5"/>
  <c r="S16" i="5"/>
  <c r="S11" i="5"/>
  <c r="S54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27" i="5"/>
  <c r="S28" i="5"/>
  <c r="S30" i="5"/>
  <c r="S31" i="5"/>
  <c r="S32" i="5"/>
  <c r="S33" i="5"/>
  <c r="S34" i="5"/>
  <c r="S35" i="5"/>
  <c r="S36" i="5"/>
  <c r="S37" i="5"/>
  <c r="S38" i="5"/>
  <c r="T38" i="5" s="1"/>
  <c r="S39" i="5"/>
  <c r="T39" i="5" s="1"/>
  <c r="S40" i="5"/>
  <c r="T40" i="5" s="1"/>
  <c r="S41" i="5"/>
  <c r="S42" i="5"/>
  <c r="T42" i="5" s="1"/>
  <c r="S43" i="5"/>
  <c r="S44" i="5"/>
  <c r="S27" i="5"/>
  <c r="S67" i="5"/>
  <c r="T67" i="5" s="1"/>
  <c r="S50" i="5"/>
  <c r="T50" i="5" s="1"/>
  <c r="S51" i="5"/>
  <c r="T51" i="5" s="1"/>
  <c r="S52" i="5"/>
  <c r="S53" i="5"/>
  <c r="S55" i="5"/>
  <c r="S56" i="5"/>
  <c r="T56" i="5" s="1"/>
  <c r="S57" i="5"/>
  <c r="S58" i="5"/>
  <c r="T58" i="5" s="1"/>
  <c r="S59" i="5"/>
  <c r="T59" i="5" s="1"/>
  <c r="S60" i="5"/>
  <c r="T60" i="5" s="1"/>
  <c r="S61" i="5"/>
  <c r="S62" i="5"/>
  <c r="T62" i="5" s="1"/>
  <c r="S63" i="5"/>
  <c r="S64" i="5"/>
  <c r="S66" i="5"/>
  <c r="S49" i="5"/>
  <c r="T49" i="5" s="1"/>
  <c r="T41" i="5" l="1"/>
  <c r="R75" i="5"/>
  <c r="R74" i="5"/>
  <c r="T37" i="5"/>
  <c r="T36" i="5"/>
  <c r="T53" i="5"/>
  <c r="T52" i="5"/>
  <c r="R73" i="5"/>
  <c r="S73" i="5" s="1"/>
  <c r="T73" i="5" s="1"/>
  <c r="Q74" i="5"/>
  <c r="T57" i="5"/>
  <c r="Q75" i="5"/>
  <c r="T44" i="5"/>
  <c r="T33" i="5"/>
  <c r="T28" i="5"/>
  <c r="T43" i="5"/>
  <c r="L72" i="5"/>
  <c r="M72" i="5"/>
  <c r="D72" i="5"/>
  <c r="N72" i="5"/>
  <c r="F72" i="5"/>
  <c r="H72" i="5"/>
  <c r="G72" i="5"/>
  <c r="K72" i="5"/>
  <c r="I72" i="5"/>
  <c r="E72" i="5"/>
  <c r="J72" i="5"/>
  <c r="T61" i="5"/>
  <c r="T55" i="5"/>
  <c r="T66" i="5"/>
  <c r="T31" i="5"/>
  <c r="T35" i="5"/>
  <c r="T34" i="5"/>
  <c r="T27" i="5"/>
  <c r="T64" i="5"/>
  <c r="T32" i="5"/>
  <c r="T54" i="5"/>
  <c r="T65" i="5"/>
  <c r="T30" i="5"/>
  <c r="T45" i="5"/>
  <c r="T63" i="5"/>
  <c r="S74" i="5" l="1"/>
  <c r="T74" i="5" s="1"/>
  <c r="S75" i="5"/>
  <c r="T75" i="5" s="1"/>
  <c r="Q72" i="5"/>
  <c r="R72" i="5"/>
  <c r="S72" i="5" l="1"/>
  <c r="T72" i="5" s="1"/>
</calcChain>
</file>

<file path=xl/sharedStrings.xml><?xml version="1.0" encoding="utf-8"?>
<sst xmlns="http://schemas.openxmlformats.org/spreadsheetml/2006/main" count="145" uniqueCount="83">
  <si>
    <t>Geography</t>
  </si>
  <si>
    <t>Q1 2020</t>
  </si>
  <si>
    <t>Q2 2020</t>
  </si>
  <si>
    <t>Q3 2020</t>
  </si>
  <si>
    <t>North American Industry Classification System (NAICS) 5</t>
  </si>
  <si>
    <t>Total employed, all industries 6</t>
  </si>
  <si>
    <t>Goods-producing sector 7</t>
  </si>
  <si>
    <t>Agriculture 8</t>
  </si>
  <si>
    <t>Forestry, fishing, mining, quarrying, oil and gas 9 10</t>
  </si>
  <si>
    <t>Utilities</t>
  </si>
  <si>
    <t>Construction</t>
  </si>
  <si>
    <t>Manufacturing</t>
  </si>
  <si>
    <t>Services-producing sector 11</t>
  </si>
  <si>
    <t>Wholesale and retail trade</t>
  </si>
  <si>
    <t>Transportation and warehousing</t>
  </si>
  <si>
    <t>Finance, insurance, real estate, rental and leasing</t>
  </si>
  <si>
    <t>Professional, scientific and technical services</t>
  </si>
  <si>
    <t>Business, building and other support services 12</t>
  </si>
  <si>
    <t>Educational services</t>
  </si>
  <si>
    <t>Health care and social assistance</t>
  </si>
  <si>
    <t>Information, culture and recreation</t>
  </si>
  <si>
    <t>Accommodation and food services</t>
  </si>
  <si>
    <t>Other services (except public administration)</t>
  </si>
  <si>
    <t>Public administration</t>
  </si>
  <si>
    <t>Average</t>
    <phoneticPr fontId="1" type="noConversion"/>
  </si>
  <si>
    <t>Max-Min</t>
    <phoneticPr fontId="1" type="noConversion"/>
  </si>
  <si>
    <t>Q1 2019</t>
  </si>
  <si>
    <t>Q2 2019</t>
  </si>
  <si>
    <t>Q3 2019</t>
  </si>
  <si>
    <t>Q4 2019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</si>
  <si>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</si>
  <si>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</si>
  <si>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</si>
  <si>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</si>
  <si>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</si>
  <si>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</si>
  <si>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</si>
  <si>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</si>
  <si>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</si>
  <si>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</si>
  <si>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</si>
  <si>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</si>
  <si>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 5 (map)</t>
  </si>
  <si>
    <t>Nunavut 5 (map)</t>
  </si>
  <si>
    <t>Average total population in 2018 (minus territories)</t>
    <phoneticPr fontId="1" type="noConversion"/>
  </si>
  <si>
    <t>MINUS territories</t>
    <phoneticPr fontId="1" type="noConversion"/>
  </si>
  <si>
    <t>Q4 2020</t>
    <phoneticPr fontId="1" type="noConversion"/>
  </si>
  <si>
    <t>Q1 2018</t>
    <phoneticPr fontId="1" type="noConversion"/>
  </si>
  <si>
    <t>Q2 2018</t>
    <phoneticPr fontId="1" type="noConversion"/>
  </si>
  <si>
    <t>Q3 2018</t>
    <phoneticPr fontId="1" type="noConversion"/>
  </si>
  <si>
    <t>Q4 2018</t>
    <phoneticPr fontId="1" type="noConversion"/>
  </si>
  <si>
    <t>Average total population in 2019 (minus territories)</t>
    <phoneticPr fontId="1" type="noConversion"/>
  </si>
  <si>
    <t>Average total population in 2020 (minus territories)</t>
    <phoneticPr fontId="1" type="noConversion"/>
  </si>
  <si>
    <t>Other services (except public administration)</t>
    <phoneticPr fontId="1" type="noConversion"/>
  </si>
  <si>
    <t>Educational services</t>
    <phoneticPr fontId="1" type="noConversion"/>
  </si>
  <si>
    <t>F</t>
    <phoneticPr fontId="1" type="noConversion"/>
  </si>
  <si>
    <t>Define F = (Max - Min)/Average</t>
    <phoneticPr fontId="1" type="noConversion"/>
  </si>
  <si>
    <t>Note: number of persons is x1000 in the following tables.</t>
    <phoneticPr fontId="1" type="noConversion"/>
  </si>
  <si>
    <t>Construction</t>
    <phoneticPr fontId="1" type="noConversion"/>
  </si>
  <si>
    <t>ISI</t>
    <phoneticPr fontId="1" type="noConversion"/>
  </si>
  <si>
    <t>Define ISI = F(2020) - F(2019) = degree of labor market being impacted</t>
    <phoneticPr fontId="1" type="noConversion"/>
  </si>
  <si>
    <t>glassdoor</t>
  </si>
  <si>
    <t>canada job bank</t>
  </si>
  <si>
    <t>jobs.ca</t>
  </si>
  <si>
    <t>Accomodation</t>
    <phoneticPr fontId="1" type="noConversion"/>
  </si>
  <si>
    <t>Food</t>
    <phoneticPr fontId="1" type="noConversion"/>
  </si>
  <si>
    <t>Publishing</t>
    <phoneticPr fontId="1" type="noConversion"/>
  </si>
  <si>
    <t>Recording</t>
    <phoneticPr fontId="1" type="noConversion"/>
  </si>
  <si>
    <t>Broadcasting</t>
    <phoneticPr fontId="1" type="noConversion"/>
  </si>
  <si>
    <t>Telecommunications</t>
    <phoneticPr fontId="1" type="noConversion"/>
  </si>
  <si>
    <t>Hosting</t>
    <phoneticPr fontId="1" type="noConversion"/>
  </si>
  <si>
    <t>Recreation</t>
    <phoneticPr fontId="1" type="noConversion"/>
  </si>
  <si>
    <t>Wholesale</t>
    <phoneticPr fontId="1" type="noConversion"/>
  </si>
  <si>
    <t>Retail</t>
    <phoneticPr fontId="1" type="noConversion"/>
  </si>
  <si>
    <t>Keyword search results at Glassdoor, JobBank, and Jobs</t>
    <phoneticPr fontId="1" type="noConversion"/>
  </si>
  <si>
    <t>Estimation Period</t>
    <phoneticPr fontId="1" type="noConversion"/>
  </si>
  <si>
    <t>e</t>
    <phoneticPr fontId="1" type="noConversion"/>
  </si>
  <si>
    <t>2019 Average</t>
    <phoneticPr fontId="1" type="noConversion"/>
  </si>
  <si>
    <t>will be 2928.30 at December 2020</t>
    <phoneticPr fontId="1" type="noConversion"/>
  </si>
  <si>
    <t>Not available since the trendline keep declining</t>
    <phoneticPr fontId="1" type="noConversion"/>
  </si>
  <si>
    <t>Estimated time back to normal</t>
    <phoneticPr fontId="1" type="noConversion"/>
  </si>
  <si>
    <t>will be 1464.31 at April 2021</t>
    <phoneticPr fontId="1" type="noConversion"/>
  </si>
  <si>
    <t>will be 1217.5 at the 42th month after January 2021, which is July 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</si>
</sst>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.00_ "/>
    <numFmt numFmtId="181" formatCode="0_ 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2"/>
      <color theme="4"/>
      <name val="Calibri"/>
      <family val="2"/>
    </font>
    <font>
      <b/>
      <sz val="12"/>
      <color theme="4"/>
      <name val="Calibri"/>
      <family val="2"/>
    </font>
    <font>
      <sz val="12"/>
      <color theme="5" tint="-0.249977111117893"/>
      <name val="Calibri"/>
      <family val="2"/>
    </font>
    <font>
      <b/>
      <sz val="12"/>
      <color theme="5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" fontId="2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11" fillId="0" borderId="4" xfId="0" applyNumberFormat="1" applyFont="1" applyBorder="1" applyAlignment="1">
      <alignment horizontal="center" vertical="center"/>
    </xf>
    <xf numFmtId="10" fontId="11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81" fontId="2" fillId="0" borderId="0" xfId="0" applyNumberFormat="1" applyFont="1">
      <alignment vertical="center"/>
    </xf>
    <xf numFmtId="18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2400" b="1">
                <a:solidFill>
                  <a:schemeClr val="tx1"/>
                </a:solidFill>
              </a:rPr>
              <a:t>Employment from Jan. 2020 to Nov. 2020</a:t>
            </a:r>
            <a:endParaRPr lang="en-CA" altLang="zh-CN" sz="24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18-20'!$B$54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'Employment 18-20'!$C$48:$M$48</c:f>
              <c:numCache>
                <c:formatCode>mmm\-yy</c:formatCode>
                <c:ptCount val="1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</c:numCache>
            </c:numRef>
          </c:cat>
          <c:val>
            <c:numRef>
              <c:f>'Employment 18-20'!$C$54:$M$54</c:f>
              <c:numCache>
                <c:formatCode>#,##0.00</c:formatCode>
                <c:ptCount val="11"/>
                <c:pt idx="0">
                  <c:v>1497.6</c:v>
                </c:pt>
                <c:pt idx="1">
                  <c:v>1489.7</c:v>
                </c:pt>
                <c:pt idx="2">
                  <c:v>1487.5</c:v>
                </c:pt>
                <c:pt idx="3">
                  <c:v>1173.9000000000001</c:v>
                </c:pt>
                <c:pt idx="4">
                  <c:v>1247.5999999999999</c:v>
                </c:pt>
                <c:pt idx="5">
                  <c:v>1330.8</c:v>
                </c:pt>
                <c:pt idx="6">
                  <c:v>1364.3</c:v>
                </c:pt>
                <c:pt idx="7">
                  <c:v>1368.8</c:v>
                </c:pt>
                <c:pt idx="8">
                  <c:v>1369.4</c:v>
                </c:pt>
                <c:pt idx="9">
                  <c:v>1377.8</c:v>
                </c:pt>
                <c:pt idx="10">
                  <c:v>1404.1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B-224B-BFCA-2F80D42E483C}"/>
            </c:ext>
          </c:extLst>
        </c:ser>
        <c:ser>
          <c:idx val="1"/>
          <c:order val="1"/>
          <c:tx>
            <c:strRef>
              <c:f>'Employment 18-20'!$B$57</c:f>
              <c:strCache>
                <c:ptCount val="1"/>
                <c:pt idx="0">
                  <c:v>Wholesale and retail trade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'Employment 18-20'!$C$48:$M$48</c:f>
              <c:numCache>
                <c:formatCode>mmm\-yy</c:formatCode>
                <c:ptCount val="1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</c:numCache>
            </c:numRef>
          </c:cat>
          <c:val>
            <c:numRef>
              <c:f>'Employment 18-20'!$C$57:$M$57</c:f>
              <c:numCache>
                <c:formatCode>#,##0.00</c:formatCode>
                <c:ptCount val="11"/>
                <c:pt idx="0">
                  <c:v>2858.7</c:v>
                </c:pt>
                <c:pt idx="1">
                  <c:v>2881.3</c:v>
                </c:pt>
                <c:pt idx="2">
                  <c:v>2673.8</c:v>
                </c:pt>
                <c:pt idx="3">
                  <c:v>2299.1</c:v>
                </c:pt>
                <c:pt idx="4">
                  <c:v>2406.1</c:v>
                </c:pt>
                <c:pt idx="5">
                  <c:v>2628.2</c:v>
                </c:pt>
                <c:pt idx="6">
                  <c:v>2729.5</c:v>
                </c:pt>
                <c:pt idx="7">
                  <c:v>2757.5</c:v>
                </c:pt>
                <c:pt idx="8">
                  <c:v>2755.5</c:v>
                </c:pt>
                <c:pt idx="9">
                  <c:v>2800.8</c:v>
                </c:pt>
                <c:pt idx="10">
                  <c:v>2827.9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B-224B-BFCA-2F80D42E483C}"/>
            </c:ext>
          </c:extLst>
        </c:ser>
        <c:ser>
          <c:idx val="2"/>
          <c:order val="2"/>
          <c:tx>
            <c:strRef>
              <c:f>'Employment 18-20'!$B$64</c:f>
              <c:strCache>
                <c:ptCount val="1"/>
                <c:pt idx="0">
                  <c:v>Information, culture and recreation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'Employment 18-20'!$C$48:$M$48</c:f>
              <c:numCache>
                <c:formatCode>mmm\-yy</c:formatCode>
                <c:ptCount val="1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</c:numCache>
            </c:numRef>
          </c:cat>
          <c:val>
            <c:numRef>
              <c:f>'Employment 18-20'!$C$64:$M$64</c:f>
              <c:numCache>
                <c:formatCode>General</c:formatCode>
                <c:ptCount val="11"/>
                <c:pt idx="0">
                  <c:v>764.3</c:v>
                </c:pt>
                <c:pt idx="1">
                  <c:v>778.7</c:v>
                </c:pt>
                <c:pt idx="2">
                  <c:v>675</c:v>
                </c:pt>
                <c:pt idx="3">
                  <c:v>593</c:v>
                </c:pt>
                <c:pt idx="4">
                  <c:v>586.4</c:v>
                </c:pt>
                <c:pt idx="5">
                  <c:v>646.79999999999995</c:v>
                </c:pt>
                <c:pt idx="6">
                  <c:v>669.8</c:v>
                </c:pt>
                <c:pt idx="7">
                  <c:v>678</c:v>
                </c:pt>
                <c:pt idx="8">
                  <c:v>734.1</c:v>
                </c:pt>
                <c:pt idx="9">
                  <c:v>722.8</c:v>
                </c:pt>
                <c:pt idx="10">
                  <c:v>697.2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FB-224B-BFCA-2F80D42E483C}"/>
            </c:ext>
          </c:extLst>
        </c:ser>
        <c:ser>
          <c:idx val="3"/>
          <c:order val="3"/>
          <c:tx>
            <c:strRef>
              <c:f>'Employment 18-20'!$B$65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'Employment 18-20'!$C$48:$M$48</c:f>
              <c:numCache>
                <c:formatCode>mmm\-yy</c:formatCode>
                <c:ptCount val="1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</c:numCache>
            </c:numRef>
          </c:cat>
          <c:val>
            <c:numRef>
              <c:f>'Employment 18-20'!$C$65:$M$65</c:f>
              <c:numCache>
                <c:formatCode>#,##0.00</c:formatCode>
                <c:ptCount val="11"/>
                <c:pt idx="0">
                  <c:v>1242.7</c:v>
                </c:pt>
                <c:pt idx="1">
                  <c:v>1229.4000000000001</c:v>
                </c:pt>
                <c:pt idx="2" formatCode="General">
                  <c:v>935</c:v>
                </c:pt>
                <c:pt idx="3" formatCode="General">
                  <c:v>614.4</c:v>
                </c:pt>
                <c:pt idx="4" formatCode="General">
                  <c:v>656.3</c:v>
                </c:pt>
                <c:pt idx="5" formatCode="General">
                  <c:v>820</c:v>
                </c:pt>
                <c:pt idx="6" formatCode="General">
                  <c:v>920.5</c:v>
                </c:pt>
                <c:pt idx="7" formatCode="General">
                  <c:v>969.4</c:v>
                </c:pt>
                <c:pt idx="8">
                  <c:v>1041.3</c:v>
                </c:pt>
                <c:pt idx="9" formatCode="General">
                  <c:v>993.1</c:v>
                </c:pt>
                <c:pt idx="10" formatCode="General">
                  <c:v>969.3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FB-224B-BFCA-2F80D42E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90255"/>
        <c:axId val="436847775"/>
      </c:lineChart>
      <c:dateAx>
        <c:axId val="442990255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47775"/>
        <c:crosses val="autoZero"/>
        <c:auto val="1"/>
        <c:lblOffset val="100"/>
        <c:baseTimeUnit val="months"/>
      </c:dateAx>
      <c:valAx>
        <c:axId val="43684777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2400" b="1">
                <a:solidFill>
                  <a:schemeClr val="tx1"/>
                </a:solidFill>
              </a:rPr>
              <a:t>Employment from Apr. 2020 to Nov. 2020 with estimation of Dec. 2020</a:t>
            </a:r>
            <a:endParaRPr lang="en-CA" altLang="zh-CN" sz="24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18-20'!$B$54</c:f>
              <c:strCache>
                <c:ptCount val="1"/>
                <c:pt idx="0">
                  <c:v>Construction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forward val="1"/>
            <c:dispRSqr val="0"/>
            <c:dispEq val="0"/>
          </c:trendline>
          <c:cat>
            <c:numRef>
              <c:f>'Employment 18-20'!$F$48:$N$48</c:f>
              <c:numCache>
                <c:formatCode>mmm\-yy</c:formatCode>
                <c:ptCount val="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</c:numCache>
            </c:numRef>
          </c:cat>
          <c:val>
            <c:numRef>
              <c:f>'Employment 18-20'!$F$54:$M$54</c:f>
              <c:numCache>
                <c:formatCode>#,##0.00</c:formatCode>
                <c:ptCount val="8"/>
                <c:pt idx="0">
                  <c:v>1173.9000000000001</c:v>
                </c:pt>
                <c:pt idx="1">
                  <c:v>1247.5999999999999</c:v>
                </c:pt>
                <c:pt idx="2">
                  <c:v>1330.8</c:v>
                </c:pt>
                <c:pt idx="3">
                  <c:v>1364.3</c:v>
                </c:pt>
                <c:pt idx="4">
                  <c:v>1368.8</c:v>
                </c:pt>
                <c:pt idx="5">
                  <c:v>1369.4</c:v>
                </c:pt>
                <c:pt idx="6">
                  <c:v>1377.8</c:v>
                </c:pt>
                <c:pt idx="7">
                  <c:v>1404.1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8-E648-AA7B-CCB697ACB49F}"/>
            </c:ext>
          </c:extLst>
        </c:ser>
        <c:ser>
          <c:idx val="1"/>
          <c:order val="1"/>
          <c:tx>
            <c:strRef>
              <c:f>'Employment 18-20'!$B$57</c:f>
              <c:strCache>
                <c:ptCount val="1"/>
                <c:pt idx="0">
                  <c:v>Wholesale and retail trade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forward val="1"/>
            <c:dispRSqr val="0"/>
            <c:dispEq val="0"/>
          </c:trendline>
          <c:cat>
            <c:numRef>
              <c:f>'Employment 18-20'!$F$48:$N$48</c:f>
              <c:numCache>
                <c:formatCode>mmm\-yy</c:formatCode>
                <c:ptCount val="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</c:numCache>
            </c:numRef>
          </c:cat>
          <c:val>
            <c:numRef>
              <c:f>'Employment 18-20'!$F$57:$M$57</c:f>
              <c:numCache>
                <c:formatCode>#,##0.00</c:formatCode>
                <c:ptCount val="8"/>
                <c:pt idx="0">
                  <c:v>2299.1</c:v>
                </c:pt>
                <c:pt idx="1">
                  <c:v>2406.1</c:v>
                </c:pt>
                <c:pt idx="2">
                  <c:v>2628.2</c:v>
                </c:pt>
                <c:pt idx="3">
                  <c:v>2729.5</c:v>
                </c:pt>
                <c:pt idx="4">
                  <c:v>2757.5</c:v>
                </c:pt>
                <c:pt idx="5">
                  <c:v>2755.5</c:v>
                </c:pt>
                <c:pt idx="6">
                  <c:v>2800.8</c:v>
                </c:pt>
                <c:pt idx="7">
                  <c:v>2827.9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8-E648-AA7B-CCB697ACB49F}"/>
            </c:ext>
          </c:extLst>
        </c:ser>
        <c:ser>
          <c:idx val="2"/>
          <c:order val="2"/>
          <c:tx>
            <c:strRef>
              <c:f>'Employment 18-20'!$B$64</c:f>
              <c:strCache>
                <c:ptCount val="1"/>
                <c:pt idx="0">
                  <c:v>Information, culture and recreation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forward val="1"/>
            <c:dispRSqr val="0"/>
            <c:dispEq val="0"/>
          </c:trendline>
          <c:cat>
            <c:numRef>
              <c:f>'Employment 18-20'!$F$48:$N$48</c:f>
              <c:numCache>
                <c:formatCode>mmm\-yy</c:formatCode>
                <c:ptCount val="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</c:numCache>
            </c:numRef>
          </c:cat>
          <c:val>
            <c:numRef>
              <c:f>'Employment 18-20'!$F$64:$M$64</c:f>
              <c:numCache>
                <c:formatCode>General</c:formatCode>
                <c:ptCount val="8"/>
                <c:pt idx="0">
                  <c:v>593</c:v>
                </c:pt>
                <c:pt idx="1">
                  <c:v>586.4</c:v>
                </c:pt>
                <c:pt idx="2">
                  <c:v>646.79999999999995</c:v>
                </c:pt>
                <c:pt idx="3">
                  <c:v>669.8</c:v>
                </c:pt>
                <c:pt idx="4">
                  <c:v>678</c:v>
                </c:pt>
                <c:pt idx="5">
                  <c:v>734.1</c:v>
                </c:pt>
                <c:pt idx="6">
                  <c:v>722.8</c:v>
                </c:pt>
                <c:pt idx="7">
                  <c:v>697.2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8-E648-AA7B-CCB697ACB49F}"/>
            </c:ext>
          </c:extLst>
        </c:ser>
        <c:ser>
          <c:idx val="3"/>
          <c:order val="3"/>
          <c:tx>
            <c:strRef>
              <c:f>'Employment 18-20'!$B$65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'Employment 18-20'!$F$48:$N$48</c:f>
              <c:numCache>
                <c:formatCode>mmm\-yy</c:formatCode>
                <c:ptCount val="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</c:numCache>
            </c:numRef>
          </c:cat>
          <c:val>
            <c:numRef>
              <c:f>'Employment 18-20'!$F$65:$M$65</c:f>
              <c:numCache>
                <c:formatCode>General</c:formatCode>
                <c:ptCount val="8"/>
                <c:pt idx="0">
                  <c:v>614.4</c:v>
                </c:pt>
                <c:pt idx="1">
                  <c:v>656.3</c:v>
                </c:pt>
                <c:pt idx="2">
                  <c:v>820</c:v>
                </c:pt>
                <c:pt idx="3">
                  <c:v>920.5</c:v>
                </c:pt>
                <c:pt idx="4">
                  <c:v>969.4</c:v>
                </c:pt>
                <c:pt idx="5" formatCode="#,##0.00">
                  <c:v>1041.3</c:v>
                </c:pt>
                <c:pt idx="6">
                  <c:v>993.1</c:v>
                </c:pt>
                <c:pt idx="7">
                  <c:v>969.3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8-E648-AA7B-CCB697AC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90255"/>
        <c:axId val="436847775"/>
      </c:lineChart>
      <c:dateAx>
        <c:axId val="442990255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47775"/>
        <c:crosses val="autoZero"/>
        <c:auto val="1"/>
        <c:lblOffset val="100"/>
        <c:baseTimeUnit val="months"/>
      </c:dateAx>
      <c:valAx>
        <c:axId val="43684777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2400" b="1">
                <a:solidFill>
                  <a:schemeClr val="tx1"/>
                </a:solidFill>
              </a:rPr>
              <a:t>Employment from Jan. 2019 to Dec. 2019</a:t>
            </a:r>
            <a:endParaRPr lang="en-CA" altLang="zh-CN" sz="24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18-20'!$B$32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'Employment 18-20'!$C$26:$N$26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'Employment 18-20'!$C$32:$N$32</c:f>
              <c:numCache>
                <c:formatCode>#,##0.00</c:formatCode>
                <c:ptCount val="12"/>
                <c:pt idx="0">
                  <c:v>1445.2</c:v>
                </c:pt>
                <c:pt idx="1">
                  <c:v>1440.6</c:v>
                </c:pt>
                <c:pt idx="2">
                  <c:v>1439.1</c:v>
                </c:pt>
                <c:pt idx="3">
                  <c:v>1464</c:v>
                </c:pt>
                <c:pt idx="4">
                  <c:v>1456.8</c:v>
                </c:pt>
                <c:pt idx="5">
                  <c:v>1453.1</c:v>
                </c:pt>
                <c:pt idx="6">
                  <c:v>1474.5</c:v>
                </c:pt>
                <c:pt idx="7">
                  <c:v>1472.5</c:v>
                </c:pt>
                <c:pt idx="8">
                  <c:v>1478.9</c:v>
                </c:pt>
                <c:pt idx="9">
                  <c:v>1463.4</c:v>
                </c:pt>
                <c:pt idx="10">
                  <c:v>1468.3</c:v>
                </c:pt>
                <c:pt idx="11">
                  <c:v>1481.8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764F-A56A-3F5E9B5FA17F}"/>
            </c:ext>
          </c:extLst>
        </c:ser>
        <c:ser>
          <c:idx val="1"/>
          <c:order val="1"/>
          <c:tx>
            <c:strRef>
              <c:f>'Employment 18-20'!$B$35</c:f>
              <c:strCache>
                <c:ptCount val="1"/>
                <c:pt idx="0">
                  <c:v>Wholesale and retail trade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'Employment 18-20'!$C$26:$N$26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'Employment 18-20'!$C$35:$N$35</c:f>
              <c:numCache>
                <c:formatCode>#,##0.00</c:formatCode>
                <c:ptCount val="12"/>
                <c:pt idx="0">
                  <c:v>2813.4</c:v>
                </c:pt>
                <c:pt idx="1">
                  <c:v>2824.8</c:v>
                </c:pt>
                <c:pt idx="2">
                  <c:v>2833.9</c:v>
                </c:pt>
                <c:pt idx="3">
                  <c:v>2861.8</c:v>
                </c:pt>
                <c:pt idx="4">
                  <c:v>2862.5</c:v>
                </c:pt>
                <c:pt idx="5">
                  <c:v>2847.9</c:v>
                </c:pt>
                <c:pt idx="6">
                  <c:v>2830.2</c:v>
                </c:pt>
                <c:pt idx="7">
                  <c:v>2844.8</c:v>
                </c:pt>
                <c:pt idx="8">
                  <c:v>2844.1</c:v>
                </c:pt>
                <c:pt idx="9">
                  <c:v>2846.1</c:v>
                </c:pt>
                <c:pt idx="10">
                  <c:v>2844.8</c:v>
                </c:pt>
                <c:pt idx="11">
                  <c:v>2850.8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764F-A56A-3F5E9B5FA17F}"/>
            </c:ext>
          </c:extLst>
        </c:ser>
        <c:ser>
          <c:idx val="2"/>
          <c:order val="2"/>
          <c:tx>
            <c:strRef>
              <c:f>'Employment 18-20'!$B$42</c:f>
              <c:strCache>
                <c:ptCount val="1"/>
                <c:pt idx="0">
                  <c:v>Information, culture and recreation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'Employment 18-20'!$C$26:$N$26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'Employment 18-20'!$C$42:$N$42</c:f>
              <c:numCache>
                <c:formatCode>General</c:formatCode>
                <c:ptCount val="12"/>
                <c:pt idx="0">
                  <c:v>762.7</c:v>
                </c:pt>
                <c:pt idx="1">
                  <c:v>768.6</c:v>
                </c:pt>
                <c:pt idx="2">
                  <c:v>767</c:v>
                </c:pt>
                <c:pt idx="3">
                  <c:v>779.4</c:v>
                </c:pt>
                <c:pt idx="4">
                  <c:v>782.3</c:v>
                </c:pt>
                <c:pt idx="5">
                  <c:v>791.2</c:v>
                </c:pt>
                <c:pt idx="6">
                  <c:v>789.7</c:v>
                </c:pt>
                <c:pt idx="7">
                  <c:v>793.7</c:v>
                </c:pt>
                <c:pt idx="8">
                  <c:v>771.5</c:v>
                </c:pt>
                <c:pt idx="9">
                  <c:v>765.3</c:v>
                </c:pt>
                <c:pt idx="10">
                  <c:v>759.2</c:v>
                </c:pt>
                <c:pt idx="11">
                  <c:v>764.8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1-764F-A56A-3F5E9B5FA17F}"/>
            </c:ext>
          </c:extLst>
        </c:ser>
        <c:ser>
          <c:idx val="3"/>
          <c:order val="3"/>
          <c:tx>
            <c:strRef>
              <c:f>'Employment 18-20'!$B$43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'Employment 18-20'!$C$26:$N$26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'Employment 18-20'!$C$43:$N$43</c:f>
              <c:numCache>
                <c:formatCode>#,##0.00</c:formatCode>
                <c:ptCount val="12"/>
                <c:pt idx="0">
                  <c:v>1226.2</c:v>
                </c:pt>
                <c:pt idx="1">
                  <c:v>1213.8</c:v>
                </c:pt>
                <c:pt idx="2">
                  <c:v>1203.3</c:v>
                </c:pt>
                <c:pt idx="3">
                  <c:v>1207.3</c:v>
                </c:pt>
                <c:pt idx="4">
                  <c:v>1195.9000000000001</c:v>
                </c:pt>
                <c:pt idx="5">
                  <c:v>1197.2</c:v>
                </c:pt>
                <c:pt idx="6">
                  <c:v>1202.2</c:v>
                </c:pt>
                <c:pt idx="7">
                  <c:v>1207.9000000000001</c:v>
                </c:pt>
                <c:pt idx="8">
                  <c:v>1227.9000000000001</c:v>
                </c:pt>
                <c:pt idx="9">
                  <c:v>1232.8</c:v>
                </c:pt>
                <c:pt idx="10">
                  <c:v>1225.3</c:v>
                </c:pt>
                <c:pt idx="11">
                  <c:v>1244.9000000000001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1-764F-A56A-3F5E9B5F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90255"/>
        <c:axId val="436847775"/>
      </c:lineChart>
      <c:dateAx>
        <c:axId val="442990255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47775"/>
        <c:crosses val="autoZero"/>
        <c:auto val="1"/>
        <c:lblOffset val="100"/>
        <c:baseTimeUnit val="months"/>
      </c:dateAx>
      <c:valAx>
        <c:axId val="43684777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sz="2400" b="1">
                <a:solidFill>
                  <a:schemeClr val="tx1"/>
                </a:solidFill>
              </a:rPr>
              <a:t>Estimated Employment for 2021</a:t>
            </a:r>
            <a:endParaRPr lang="en-CA" altLang="zh-CN" sz="24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'Employment 18-20'!$B$72</c:f>
              <c:strCache>
                <c:ptCount val="1"/>
                <c:pt idx="0">
                  <c:v>Construction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'Employment 18-20'!$C$71:$N$71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'Employment 18-20'!$C$72:$N$72</c:f>
              <c:numCache>
                <c:formatCode>0.00_ </c:formatCode>
                <c:ptCount val="12"/>
                <c:pt idx="0">
                  <c:v>1454.1925342917139</c:v>
                </c:pt>
                <c:pt idx="1">
                  <c:v>1457.5666342917139</c:v>
                </c:pt>
                <c:pt idx="2">
                  <c:v>1460.9407342917139</c:v>
                </c:pt>
                <c:pt idx="3">
                  <c:v>1464.3148342917139</c:v>
                </c:pt>
                <c:pt idx="4">
                  <c:v>1467.6889342917138</c:v>
                </c:pt>
                <c:pt idx="5">
                  <c:v>1471.0630342917138</c:v>
                </c:pt>
                <c:pt idx="6">
                  <c:v>1474.4371342917138</c:v>
                </c:pt>
                <c:pt idx="7">
                  <c:v>1477.8112342917138</c:v>
                </c:pt>
                <c:pt idx="8">
                  <c:v>1481.1853342917138</c:v>
                </c:pt>
                <c:pt idx="9">
                  <c:v>1484.5594342917138</c:v>
                </c:pt>
                <c:pt idx="10">
                  <c:v>1487.9335342917138</c:v>
                </c:pt>
                <c:pt idx="11">
                  <c:v>1491.3076342917138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9-B44B-919F-C8DBC927B8E3}"/>
            </c:ext>
          </c:extLst>
        </c:ser>
        <c:ser>
          <c:idx val="1"/>
          <c:order val="1"/>
          <c:tx>
            <c:strRef>
              <c:f>'Employment 18-20'!$B$73</c:f>
              <c:strCache>
                <c:ptCount val="1"/>
                <c:pt idx="0">
                  <c:v>Wholesale and retail trade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'Employment 18-20'!$C$71:$N$71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'Employment 18-20'!$C$73:$N$73</c:f>
              <c:numCache>
                <c:formatCode>0.00_ </c:formatCode>
                <c:ptCount val="12"/>
                <c:pt idx="0">
                  <c:v>2956.7870349965201</c:v>
                </c:pt>
                <c:pt idx="1">
                  <c:v>2958.5964349965202</c:v>
                </c:pt>
                <c:pt idx="2">
                  <c:v>2960.4058349965203</c:v>
                </c:pt>
                <c:pt idx="3">
                  <c:v>2962.2152349965199</c:v>
                </c:pt>
                <c:pt idx="4">
                  <c:v>2964.02463499652</c:v>
                </c:pt>
                <c:pt idx="5">
                  <c:v>2965.8340349965201</c:v>
                </c:pt>
                <c:pt idx="6">
                  <c:v>2967.6434349965202</c:v>
                </c:pt>
                <c:pt idx="7">
                  <c:v>2969.4528349965203</c:v>
                </c:pt>
                <c:pt idx="8">
                  <c:v>2971.26223499652</c:v>
                </c:pt>
                <c:pt idx="9">
                  <c:v>2973.0716349965201</c:v>
                </c:pt>
                <c:pt idx="10">
                  <c:v>2974.8810349965202</c:v>
                </c:pt>
                <c:pt idx="11">
                  <c:v>2976.6904349965203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9-B44B-919F-C8DBC927B8E3}"/>
            </c:ext>
          </c:extLst>
        </c:ser>
        <c:ser>
          <c:idx val="2"/>
          <c:order val="2"/>
          <c:tx>
            <c:strRef>
              <c:f>'Employment 18-20'!$B$74</c:f>
              <c:strCache>
                <c:ptCount val="1"/>
                <c:pt idx="0">
                  <c:v>Information, culture and recreation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'Employment 18-20'!$C$71:$N$71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'Employment 18-20'!$C$74:$N$74</c:f>
              <c:numCache>
                <c:formatCode>0.00_ </c:formatCode>
                <c:ptCount val="12"/>
                <c:pt idx="0">
                  <c:v>736.27037812637536</c:v>
                </c:pt>
                <c:pt idx="1">
                  <c:v>735.98997812637538</c:v>
                </c:pt>
                <c:pt idx="2">
                  <c:v>735.70957812637539</c:v>
                </c:pt>
                <c:pt idx="3">
                  <c:v>735.4291781263754</c:v>
                </c:pt>
                <c:pt idx="4">
                  <c:v>735.14877812637542</c:v>
                </c:pt>
                <c:pt idx="5">
                  <c:v>734.86837812637532</c:v>
                </c:pt>
                <c:pt idx="6">
                  <c:v>734.58797812637533</c:v>
                </c:pt>
                <c:pt idx="7">
                  <c:v>734.30757812637535</c:v>
                </c:pt>
                <c:pt idx="8">
                  <c:v>734.02717812637536</c:v>
                </c:pt>
                <c:pt idx="9">
                  <c:v>733.74677812637537</c:v>
                </c:pt>
                <c:pt idx="10">
                  <c:v>733.46637812637539</c:v>
                </c:pt>
                <c:pt idx="11">
                  <c:v>733.1859781263754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9-B44B-919F-C8DBC927B8E3}"/>
            </c:ext>
          </c:extLst>
        </c:ser>
        <c:ser>
          <c:idx val="3"/>
          <c:order val="3"/>
          <c:tx>
            <c:strRef>
              <c:f>'Employment 18-20'!$B$75</c:f>
              <c:strCache>
                <c:ptCount val="1"/>
                <c:pt idx="0">
                  <c:v>Accommodation and food services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'Employment 18-20'!$C$71:$N$71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'Employment 18-20'!$C$75:$N$75</c:f>
              <c:numCache>
                <c:formatCode>0.00_ </c:formatCode>
                <c:ptCount val="12"/>
                <c:pt idx="0">
                  <c:v>1120.6250698755546</c:v>
                </c:pt>
                <c:pt idx="1">
                  <c:v>1122.9316698755547</c:v>
                </c:pt>
                <c:pt idx="2">
                  <c:v>1125.2382698755546</c:v>
                </c:pt>
                <c:pt idx="3">
                  <c:v>1127.5448698755545</c:v>
                </c:pt>
                <c:pt idx="4">
                  <c:v>1129.8514698755546</c:v>
                </c:pt>
                <c:pt idx="5">
                  <c:v>1132.1580698755545</c:v>
                </c:pt>
                <c:pt idx="6">
                  <c:v>1134.4646698755546</c:v>
                </c:pt>
                <c:pt idx="7">
                  <c:v>1136.7712698755545</c:v>
                </c:pt>
                <c:pt idx="8">
                  <c:v>1139.0778698755546</c:v>
                </c:pt>
                <c:pt idx="9">
                  <c:v>1141.3844698755545</c:v>
                </c:pt>
                <c:pt idx="10">
                  <c:v>1143.6910698755546</c:v>
                </c:pt>
                <c:pt idx="11">
                  <c:v>1145.9976698755545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9-B44B-919F-C8DBC927B8E3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'Employment 18-20'!$C$71:$N$71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'Employment 18-20'!$B$76:$N$76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D9-B44B-919F-C8DBC927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90255"/>
        <c:axId val="436847775"/>
      </c:lineChart>
      <c:dateAx>
        <c:axId val="442990255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47775"/>
        <c:crosses val="autoZero"/>
        <c:auto val="1"/>
        <c:lblOffset val="100"/>
        <c:baseTimeUnit val="months"/>
      </c:dateAx>
      <c:valAx>
        <c:axId val="436847775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161638</xdr:colOff>
      <xdr:row>86</xdr:row>
      <xdr:rowOff>34637</xdr:rowOff>
    </xdr:from>
    <xdr:to>
      <xdr:col>6</xdr:col>
      <xdr:colOff>750455</xdr:colOff>
      <xdr:row>112</xdr:row>
      <xdr:rowOff>173182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5CB497B-3BBC-A543-9038-BBDFF4BC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173182</xdr:colOff>
      <xdr:row>113</xdr:row>
      <xdr:rowOff>103911</xdr:rowOff>
    </xdr:from>
    <xdr:to>
      <xdr:col>6</xdr:col>
      <xdr:colOff>761999</xdr:colOff>
      <xdr:row>141</xdr:row>
      <xdr:rowOff>69271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F6693B6-4A8E-3641-BD64-87CB136E3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254001</xdr:colOff>
      <xdr:row>87</xdr:row>
      <xdr:rowOff>92364</xdr:rowOff>
    </xdr:from>
    <xdr:to>
      <xdr:col>17</xdr:col>
      <xdr:colOff>103910</xdr:colOff>
      <xdr:row>112</xdr:row>
      <xdr:rowOff>80818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12A9C72-6E54-CF48-9774-7F44530C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277091</xdr:colOff>
      <xdr:row>113</xdr:row>
      <xdr:rowOff>103909</xdr:rowOff>
    </xdr:from>
    <xdr:to>
      <xdr:col>16</xdr:col>
      <xdr:colOff>761998</xdr:colOff>
      <xdr:row>139</xdr:row>
      <xdr:rowOff>80818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225500F-B5BF-0140-B4F5-D23E5ADAD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077F-F1A5-4043-9474-7270E6C2EC60}">
  <dimension ref="B1:AE85"/>
  <sheetViews>
    <sheetView tabSelected="1" zoomScale="110" zoomScaleNormal="110" workbookViewId="0">
      <pane ySplit="2" topLeftCell="A36" activePane="bottomLeft" state="frozen"/>
      <selection pane="bottomLeft" activeCell="O40" sqref="O40"/>
    </sheetView>
  </sheetViews>
  <sheetFormatPr baseColWidth="10" defaultRowHeight="16"/>
  <cols>
    <col min="1" max="1" width="10.83203125" style="1"/>
    <col min="2" max="2" width="46.5" style="5" customWidth="1"/>
    <col min="3" max="3" width="12.5" style="1" bestFit="1" customWidth="1"/>
    <col min="4" max="14" width="10.83203125" style="1"/>
    <col min="15" max="15" width="10.83203125" style="82"/>
    <col min="16" max="16" width="5.83203125" style="82" customWidth="1"/>
    <col min="17" max="17" width="10.83203125" style="1"/>
    <col min="18" max="18" width="10.83203125" style="7"/>
    <col min="19" max="20" width="10.83203125" style="4"/>
    <col min="21" max="21" width="10.83203125" style="10"/>
    <col min="22" max="22" width="19.1640625" style="10" customWidth="1"/>
    <col min="23" max="23" width="17.5" style="1" customWidth="1"/>
    <col min="24" max="30" width="10.83203125" style="1"/>
    <col min="31" max="31" width="10.83203125" style="2"/>
    <col min="32" max="16384" width="10.83203125" style="1"/>
  </cols>
  <sheetData>
    <row r="1" spans="2:31">
      <c r="B1" s="56" t="s">
        <v>56</v>
      </c>
      <c r="F1" s="5" t="s">
        <v>57</v>
      </c>
    </row>
    <row r="2" spans="2:31">
      <c r="B2" s="56" t="s">
        <v>60</v>
      </c>
    </row>
    <row r="4" spans="2:31">
      <c r="B4" s="8" t="s">
        <v>4</v>
      </c>
      <c r="C4" s="6">
        <v>43101</v>
      </c>
      <c r="D4" s="6">
        <v>43132</v>
      </c>
      <c r="E4" s="6">
        <v>43160</v>
      </c>
      <c r="F4" s="6">
        <v>43191</v>
      </c>
      <c r="G4" s="6">
        <v>43221</v>
      </c>
      <c r="H4" s="6">
        <v>43252</v>
      </c>
      <c r="I4" s="6">
        <v>43282</v>
      </c>
      <c r="J4" s="6">
        <v>43313</v>
      </c>
      <c r="K4" s="6">
        <v>43344</v>
      </c>
      <c r="L4" s="6">
        <v>43374</v>
      </c>
      <c r="M4" s="6">
        <v>43405</v>
      </c>
      <c r="N4" s="6">
        <v>43435</v>
      </c>
      <c r="O4" s="29"/>
      <c r="Q4" s="13" t="s">
        <v>24</v>
      </c>
      <c r="R4" s="30" t="s">
        <v>25</v>
      </c>
      <c r="S4" s="31" t="s">
        <v>55</v>
      </c>
    </row>
    <row r="5" spans="2:31" s="82" customFormat="1">
      <c r="B5" s="99" t="s">
        <v>5</v>
      </c>
      <c r="C5" s="100">
        <v>18551.400000000001</v>
      </c>
      <c r="D5" s="100">
        <v>18559.400000000001</v>
      </c>
      <c r="E5" s="100">
        <v>18601.400000000001</v>
      </c>
      <c r="F5" s="100">
        <v>18595.2</v>
      </c>
      <c r="G5" s="100">
        <v>18590.3</v>
      </c>
      <c r="H5" s="100">
        <v>18630</v>
      </c>
      <c r="I5" s="100">
        <v>18690.5</v>
      </c>
      <c r="J5" s="100">
        <v>18640.5</v>
      </c>
      <c r="K5" s="100">
        <v>18699.400000000001</v>
      </c>
      <c r="L5" s="100">
        <v>18715.400000000001</v>
      </c>
      <c r="M5" s="100">
        <v>18815</v>
      </c>
      <c r="N5" s="100">
        <v>18824.7</v>
      </c>
      <c r="O5" s="27"/>
      <c r="Q5" s="100">
        <f t="shared" ref="Q5:Q11" si="0">AVERAGE(C5:N5)</f>
        <v>18659.433333333334</v>
      </c>
      <c r="R5" s="101">
        <f t="shared" ref="R5:R11" si="1">MAX(C5:N5)-MIN(C5:N5)</f>
        <v>273.29999999999927</v>
      </c>
      <c r="S5" s="102">
        <f>R5/Q5</f>
        <v>1.4646747043050572E-2</v>
      </c>
      <c r="T5" s="107"/>
      <c r="U5" s="105"/>
      <c r="V5" s="105"/>
      <c r="AE5" s="106"/>
    </row>
    <row r="6" spans="2:31">
      <c r="B6" s="11" t="s">
        <v>6</v>
      </c>
      <c r="C6" s="12">
        <v>3942.9</v>
      </c>
      <c r="D6" s="12">
        <v>3931.9</v>
      </c>
      <c r="E6" s="12">
        <v>3949.1</v>
      </c>
      <c r="F6" s="12">
        <v>3926</v>
      </c>
      <c r="G6" s="12">
        <v>3902.8</v>
      </c>
      <c r="H6" s="12">
        <v>3946.9</v>
      </c>
      <c r="I6" s="12">
        <v>3918.2</v>
      </c>
      <c r="J6" s="12">
        <v>3895.6</v>
      </c>
      <c r="K6" s="12">
        <v>3932</v>
      </c>
      <c r="L6" s="12">
        <v>3926.6</v>
      </c>
      <c r="M6" s="12">
        <v>3952.5</v>
      </c>
      <c r="N6" s="12">
        <v>3964.8</v>
      </c>
      <c r="O6" s="27"/>
      <c r="Q6" s="12">
        <f t="shared" si="0"/>
        <v>3932.4416666666671</v>
      </c>
      <c r="R6" s="30">
        <f t="shared" si="1"/>
        <v>69.200000000000273</v>
      </c>
      <c r="S6" s="31">
        <f>R6/Q6</f>
        <v>1.7597209536907799E-2</v>
      </c>
    </row>
    <row r="7" spans="2:31">
      <c r="B7" s="11" t="s">
        <v>7</v>
      </c>
      <c r="C7" s="13">
        <v>278.89999999999998</v>
      </c>
      <c r="D7" s="13">
        <v>273.5</v>
      </c>
      <c r="E7" s="13">
        <v>280.89999999999998</v>
      </c>
      <c r="F7" s="13">
        <v>280.39999999999998</v>
      </c>
      <c r="G7" s="13">
        <v>279.7</v>
      </c>
      <c r="H7" s="13">
        <v>274.7</v>
      </c>
      <c r="I7" s="13">
        <v>274.39999999999998</v>
      </c>
      <c r="J7" s="13">
        <v>270.2</v>
      </c>
      <c r="K7" s="13">
        <v>278.60000000000002</v>
      </c>
      <c r="L7" s="13">
        <v>275.89999999999998</v>
      </c>
      <c r="M7" s="13">
        <v>281.8</v>
      </c>
      <c r="N7" s="13">
        <v>283.60000000000002</v>
      </c>
      <c r="O7" s="26"/>
      <c r="Q7" s="12">
        <f t="shared" si="0"/>
        <v>277.71666666666664</v>
      </c>
      <c r="R7" s="30">
        <f t="shared" si="1"/>
        <v>13.400000000000034</v>
      </c>
      <c r="S7" s="31">
        <f t="shared" ref="S7:S23" si="2">R7/Q7</f>
        <v>4.8250615135329897E-2</v>
      </c>
    </row>
    <row r="8" spans="2:31">
      <c r="B8" s="11" t="s">
        <v>8</v>
      </c>
      <c r="C8" s="13">
        <v>334</v>
      </c>
      <c r="D8" s="13">
        <v>337.2</v>
      </c>
      <c r="E8" s="13">
        <v>337.7</v>
      </c>
      <c r="F8" s="13">
        <v>337</v>
      </c>
      <c r="G8" s="13">
        <v>335.9</v>
      </c>
      <c r="H8" s="13">
        <v>347.7</v>
      </c>
      <c r="I8" s="13">
        <v>344.6</v>
      </c>
      <c r="J8" s="13">
        <v>342.6</v>
      </c>
      <c r="K8" s="13">
        <v>346</v>
      </c>
      <c r="L8" s="13">
        <v>339.2</v>
      </c>
      <c r="M8" s="13">
        <v>342.4</v>
      </c>
      <c r="N8" s="13">
        <v>344.8</v>
      </c>
      <c r="O8" s="26"/>
      <c r="Q8" s="12">
        <f t="shared" si="0"/>
        <v>340.75833333333338</v>
      </c>
      <c r="R8" s="30">
        <f t="shared" si="1"/>
        <v>13.699999999999989</v>
      </c>
      <c r="S8" s="31">
        <f t="shared" si="2"/>
        <v>4.0204445966104972E-2</v>
      </c>
    </row>
    <row r="9" spans="2:31">
      <c r="B9" s="11" t="s">
        <v>9</v>
      </c>
      <c r="C9" s="13">
        <v>133.5</v>
      </c>
      <c r="D9" s="13">
        <v>136.30000000000001</v>
      </c>
      <c r="E9" s="13">
        <v>138.80000000000001</v>
      </c>
      <c r="F9" s="13">
        <v>141.5</v>
      </c>
      <c r="G9" s="13">
        <v>143.4</v>
      </c>
      <c r="H9" s="13">
        <v>144.5</v>
      </c>
      <c r="I9" s="13">
        <v>148.1</v>
      </c>
      <c r="J9" s="13">
        <v>149.80000000000001</v>
      </c>
      <c r="K9" s="13">
        <v>151</v>
      </c>
      <c r="L9" s="13">
        <v>149.80000000000001</v>
      </c>
      <c r="M9" s="13">
        <v>151.5</v>
      </c>
      <c r="N9" s="13">
        <v>148.1</v>
      </c>
      <c r="O9" s="26"/>
      <c r="Q9" s="12">
        <f t="shared" si="0"/>
        <v>144.69166666666666</v>
      </c>
      <c r="R9" s="30">
        <f t="shared" si="1"/>
        <v>18</v>
      </c>
      <c r="S9" s="31">
        <f t="shared" si="2"/>
        <v>0.12440246501180671</v>
      </c>
    </row>
    <row r="10" spans="2:31">
      <c r="B10" s="11" t="s">
        <v>10</v>
      </c>
      <c r="C10" s="12">
        <v>1432.4</v>
      </c>
      <c r="D10" s="12">
        <v>1434.6</v>
      </c>
      <c r="E10" s="12">
        <v>1450.5</v>
      </c>
      <c r="F10" s="12">
        <v>1429.3</v>
      </c>
      <c r="G10" s="12">
        <v>1423.6</v>
      </c>
      <c r="H10" s="12">
        <v>1447.6</v>
      </c>
      <c r="I10" s="12">
        <v>1432.5</v>
      </c>
      <c r="J10" s="12">
        <v>1422.4</v>
      </c>
      <c r="K10" s="12">
        <v>1443.1</v>
      </c>
      <c r="L10" s="12">
        <v>1443.4</v>
      </c>
      <c r="M10" s="12">
        <v>1455.3</v>
      </c>
      <c r="N10" s="12">
        <v>1449</v>
      </c>
      <c r="O10" s="27"/>
      <c r="Q10" s="12">
        <f t="shared" si="0"/>
        <v>1438.6416666666664</v>
      </c>
      <c r="R10" s="30">
        <f t="shared" si="1"/>
        <v>32.899999999999864</v>
      </c>
      <c r="S10" s="31">
        <f t="shared" si="2"/>
        <v>2.2868794059210853E-2</v>
      </c>
    </row>
    <row r="11" spans="2:31">
      <c r="B11" s="11" t="s">
        <v>11</v>
      </c>
      <c r="C11" s="12">
        <v>1764.1</v>
      </c>
      <c r="D11" s="12">
        <v>1750.3</v>
      </c>
      <c r="E11" s="12">
        <v>1741.3</v>
      </c>
      <c r="F11" s="12">
        <v>1737.8</v>
      </c>
      <c r="G11" s="12">
        <v>1720.3</v>
      </c>
      <c r="H11" s="12">
        <v>1732.4</v>
      </c>
      <c r="I11" s="12">
        <v>1718.6</v>
      </c>
      <c r="J11" s="12">
        <v>1710.5</v>
      </c>
      <c r="K11" s="12">
        <v>1713.3</v>
      </c>
      <c r="L11" s="12">
        <v>1718.4</v>
      </c>
      <c r="M11" s="12">
        <v>1721.4</v>
      </c>
      <c r="N11" s="12">
        <v>1739.3</v>
      </c>
      <c r="O11" s="27"/>
      <c r="Q11" s="12">
        <f t="shared" si="0"/>
        <v>1730.6416666666667</v>
      </c>
      <c r="R11" s="30">
        <f t="shared" si="1"/>
        <v>53.599999999999909</v>
      </c>
      <c r="S11" s="31">
        <f t="shared" si="2"/>
        <v>3.0971171578942247E-2</v>
      </c>
    </row>
    <row r="12" spans="2:31">
      <c r="B12" s="11" t="s">
        <v>12</v>
      </c>
      <c r="C12" s="12">
        <v>14608.5</v>
      </c>
      <c r="D12" s="12">
        <v>14627.6</v>
      </c>
      <c r="E12" s="12">
        <v>14652.4</v>
      </c>
      <c r="F12" s="12">
        <v>14669.1</v>
      </c>
      <c r="G12" s="12">
        <v>14687.5</v>
      </c>
      <c r="H12" s="12">
        <v>14683</v>
      </c>
      <c r="I12" s="12">
        <v>14772.3</v>
      </c>
      <c r="J12" s="12">
        <v>14744.9</v>
      </c>
      <c r="K12" s="12">
        <v>14767.4</v>
      </c>
      <c r="L12" s="12">
        <v>14788.8</v>
      </c>
      <c r="M12" s="12">
        <v>14862.5</v>
      </c>
      <c r="N12" s="12">
        <v>14859.9</v>
      </c>
      <c r="O12" s="27"/>
      <c r="Q12" s="12">
        <f t="shared" ref="Q12:Q23" si="3">AVERAGE(C12:N12)</f>
        <v>14726.991666666667</v>
      </c>
      <c r="R12" s="30">
        <f t="shared" ref="R12:R23" si="4">MAX(C12:N12)-MIN(C12:N12)</f>
        <v>254</v>
      </c>
      <c r="S12" s="31">
        <f t="shared" si="2"/>
        <v>1.7247242732873144E-2</v>
      </c>
    </row>
    <row r="13" spans="2:31">
      <c r="B13" s="11" t="s">
        <v>13</v>
      </c>
      <c r="C13" s="12">
        <v>2834.5</v>
      </c>
      <c r="D13" s="12">
        <v>2811.3</v>
      </c>
      <c r="E13" s="12">
        <v>2804.9</v>
      </c>
      <c r="F13" s="12">
        <v>2779.4</v>
      </c>
      <c r="G13" s="12">
        <v>2783.6</v>
      </c>
      <c r="H13" s="12">
        <v>2778.5</v>
      </c>
      <c r="I13" s="12">
        <v>2788</v>
      </c>
      <c r="J13" s="12">
        <v>2771.2</v>
      </c>
      <c r="K13" s="12">
        <v>2783.3</v>
      </c>
      <c r="L13" s="12">
        <v>2799.3</v>
      </c>
      <c r="M13" s="12">
        <v>2803.8</v>
      </c>
      <c r="N13" s="12">
        <v>2784.5</v>
      </c>
      <c r="O13" s="27"/>
      <c r="Q13" s="12">
        <f t="shared" si="3"/>
        <v>2793.5250000000001</v>
      </c>
      <c r="R13" s="30">
        <f t="shared" si="4"/>
        <v>63.300000000000182</v>
      </c>
      <c r="S13" s="31">
        <f t="shared" si="2"/>
        <v>2.2659543050447081E-2</v>
      </c>
    </row>
    <row r="14" spans="2:31">
      <c r="B14" s="11" t="s">
        <v>14</v>
      </c>
      <c r="C14" s="13">
        <v>963.7</v>
      </c>
      <c r="D14" s="13">
        <v>977.2</v>
      </c>
      <c r="E14" s="13">
        <v>978.1</v>
      </c>
      <c r="F14" s="13">
        <v>979.2</v>
      </c>
      <c r="G14" s="13">
        <v>985.3</v>
      </c>
      <c r="H14" s="13">
        <v>988.2</v>
      </c>
      <c r="I14" s="13">
        <v>987.5</v>
      </c>
      <c r="J14" s="13">
        <v>994.1</v>
      </c>
      <c r="K14" s="12">
        <v>1000.6</v>
      </c>
      <c r="L14" s="12">
        <v>1006.2</v>
      </c>
      <c r="M14" s="12">
        <v>1016.2</v>
      </c>
      <c r="N14" s="12">
        <v>1029.5</v>
      </c>
      <c r="O14" s="27"/>
      <c r="Q14" s="12">
        <f t="shared" si="3"/>
        <v>992.15000000000009</v>
      </c>
      <c r="R14" s="30">
        <f t="shared" si="4"/>
        <v>65.799999999999955</v>
      </c>
      <c r="S14" s="31">
        <f t="shared" si="2"/>
        <v>6.6320616842211313E-2</v>
      </c>
    </row>
    <row r="15" spans="2:31">
      <c r="B15" s="11" t="s">
        <v>15</v>
      </c>
      <c r="C15" s="12">
        <v>1177.9000000000001</v>
      </c>
      <c r="D15" s="12">
        <v>1168.2</v>
      </c>
      <c r="E15" s="12">
        <v>1165.8</v>
      </c>
      <c r="F15" s="12">
        <v>1165.8</v>
      </c>
      <c r="G15" s="12">
        <v>1177.0999999999999</v>
      </c>
      <c r="H15" s="12">
        <v>1181</v>
      </c>
      <c r="I15" s="12">
        <v>1183.4000000000001</v>
      </c>
      <c r="J15" s="12">
        <v>1173.9000000000001</v>
      </c>
      <c r="K15" s="12">
        <v>1185.8</v>
      </c>
      <c r="L15" s="12">
        <v>1168.8</v>
      </c>
      <c r="M15" s="12">
        <v>1166.7</v>
      </c>
      <c r="N15" s="12">
        <v>1163.0999999999999</v>
      </c>
      <c r="O15" s="27"/>
      <c r="Q15" s="12">
        <f t="shared" si="3"/>
        <v>1173.125</v>
      </c>
      <c r="R15" s="30">
        <f t="shared" si="4"/>
        <v>22.700000000000045</v>
      </c>
      <c r="S15" s="31">
        <f t="shared" si="2"/>
        <v>1.9350026638252568E-2</v>
      </c>
    </row>
    <row r="16" spans="2:31">
      <c r="B16" s="11" t="s">
        <v>16</v>
      </c>
      <c r="C16" s="12">
        <v>1445.7</v>
      </c>
      <c r="D16" s="12">
        <v>1436</v>
      </c>
      <c r="E16" s="12">
        <v>1441.4</v>
      </c>
      <c r="F16" s="12">
        <v>1468.2</v>
      </c>
      <c r="G16" s="12">
        <v>1474.8</v>
      </c>
      <c r="H16" s="12">
        <v>1476</v>
      </c>
      <c r="I16" s="12">
        <v>1476</v>
      </c>
      <c r="J16" s="12">
        <v>1459.5</v>
      </c>
      <c r="K16" s="12">
        <v>1462.3</v>
      </c>
      <c r="L16" s="12">
        <v>1469.8</v>
      </c>
      <c r="M16" s="12">
        <v>1494.4</v>
      </c>
      <c r="N16" s="12">
        <v>1497.1</v>
      </c>
      <c r="O16" s="27"/>
      <c r="Q16" s="12">
        <f t="shared" si="3"/>
        <v>1466.7666666666664</v>
      </c>
      <c r="R16" s="30">
        <f t="shared" si="4"/>
        <v>61.099999999999909</v>
      </c>
      <c r="S16" s="31">
        <f t="shared" si="2"/>
        <v>4.1656250710178797E-2</v>
      </c>
    </row>
    <row r="17" spans="2:31">
      <c r="B17" s="11" t="s">
        <v>17</v>
      </c>
      <c r="C17" s="13">
        <v>762.7</v>
      </c>
      <c r="D17" s="13">
        <v>758.4</v>
      </c>
      <c r="E17" s="13">
        <v>758.8</v>
      </c>
      <c r="F17" s="13">
        <v>763.2</v>
      </c>
      <c r="G17" s="13">
        <v>762.8</v>
      </c>
      <c r="H17" s="13">
        <v>773.2</v>
      </c>
      <c r="I17" s="13">
        <v>773</v>
      </c>
      <c r="J17" s="13">
        <v>787.5</v>
      </c>
      <c r="K17" s="13">
        <v>778.5</v>
      </c>
      <c r="L17" s="13">
        <v>797.1</v>
      </c>
      <c r="M17" s="13">
        <v>807</v>
      </c>
      <c r="N17" s="13">
        <v>813.7</v>
      </c>
      <c r="O17" s="26"/>
      <c r="Q17" s="12">
        <f t="shared" si="3"/>
        <v>777.99166666666679</v>
      </c>
      <c r="R17" s="30">
        <f t="shared" si="4"/>
        <v>55.300000000000068</v>
      </c>
      <c r="S17" s="31">
        <f t="shared" si="2"/>
        <v>7.1080452875459318E-2</v>
      </c>
    </row>
    <row r="18" spans="2:31">
      <c r="B18" s="11" t="s">
        <v>18</v>
      </c>
      <c r="C18" s="12">
        <v>1288.8</v>
      </c>
      <c r="D18" s="12">
        <v>1299.9000000000001</v>
      </c>
      <c r="E18" s="12">
        <v>1310.9</v>
      </c>
      <c r="F18" s="12">
        <v>1312.4</v>
      </c>
      <c r="G18" s="12">
        <v>1315.4</v>
      </c>
      <c r="H18" s="12">
        <v>1310.9</v>
      </c>
      <c r="I18" s="12">
        <v>1347.8</v>
      </c>
      <c r="J18" s="12">
        <v>1343.9</v>
      </c>
      <c r="K18" s="12">
        <v>1337.2</v>
      </c>
      <c r="L18" s="12">
        <v>1338.6</v>
      </c>
      <c r="M18" s="12">
        <v>1338.3</v>
      </c>
      <c r="N18" s="12">
        <v>1342.3</v>
      </c>
      <c r="O18" s="27"/>
      <c r="Q18" s="12">
        <f t="shared" si="3"/>
        <v>1323.8666666666666</v>
      </c>
      <c r="R18" s="30">
        <f t="shared" si="4"/>
        <v>59</v>
      </c>
      <c r="S18" s="31">
        <f t="shared" si="2"/>
        <v>4.4566421593312519E-2</v>
      </c>
    </row>
    <row r="19" spans="2:31">
      <c r="B19" s="11" t="s">
        <v>19</v>
      </c>
      <c r="C19" s="12">
        <v>2368.4</v>
      </c>
      <c r="D19" s="12">
        <v>2391</v>
      </c>
      <c r="E19" s="12">
        <v>2403.3000000000002</v>
      </c>
      <c r="F19" s="12">
        <v>2402.1999999999998</v>
      </c>
      <c r="G19" s="12">
        <v>2379.1999999999998</v>
      </c>
      <c r="H19" s="12">
        <v>2379.4</v>
      </c>
      <c r="I19" s="12">
        <v>2407.6</v>
      </c>
      <c r="J19" s="12">
        <v>2408.9</v>
      </c>
      <c r="K19" s="12">
        <v>2412.1</v>
      </c>
      <c r="L19" s="12">
        <v>2426.4</v>
      </c>
      <c r="M19" s="12">
        <v>2444.1999999999998</v>
      </c>
      <c r="N19" s="12">
        <v>2454.6</v>
      </c>
      <c r="O19" s="27"/>
      <c r="Q19" s="12">
        <f t="shared" si="3"/>
        <v>2406.4416666666666</v>
      </c>
      <c r="R19" s="30">
        <f t="shared" si="4"/>
        <v>86.199999999999818</v>
      </c>
      <c r="S19" s="31">
        <f t="shared" si="2"/>
        <v>3.5820523386881666E-2</v>
      </c>
    </row>
    <row r="20" spans="2:31">
      <c r="B20" s="11" t="s">
        <v>20</v>
      </c>
      <c r="C20" s="13">
        <v>802.3</v>
      </c>
      <c r="D20" s="13">
        <v>793.8</v>
      </c>
      <c r="E20" s="13">
        <v>787.2</v>
      </c>
      <c r="F20" s="13">
        <v>785.3</v>
      </c>
      <c r="G20" s="13">
        <v>786.1</v>
      </c>
      <c r="H20" s="13">
        <v>789.1</v>
      </c>
      <c r="I20" s="13">
        <v>793.9</v>
      </c>
      <c r="J20" s="13">
        <v>786.7</v>
      </c>
      <c r="K20" s="13">
        <v>779.7</v>
      </c>
      <c r="L20" s="13">
        <v>774.7</v>
      </c>
      <c r="M20" s="13">
        <v>768.3</v>
      </c>
      <c r="N20" s="13">
        <v>761.7</v>
      </c>
      <c r="O20" s="26"/>
      <c r="Q20" s="12">
        <f t="shared" si="3"/>
        <v>784.06666666666661</v>
      </c>
      <c r="R20" s="30">
        <f t="shared" si="4"/>
        <v>40.599999999999909</v>
      </c>
      <c r="S20" s="31">
        <f t="shared" si="2"/>
        <v>5.1781311113000481E-2</v>
      </c>
    </row>
    <row r="21" spans="2:31">
      <c r="B21" s="11" t="s">
        <v>21</v>
      </c>
      <c r="C21" s="12">
        <v>1214.5</v>
      </c>
      <c r="D21" s="12">
        <v>1225</v>
      </c>
      <c r="E21" s="12">
        <v>1230</v>
      </c>
      <c r="F21" s="12">
        <v>1244.2</v>
      </c>
      <c r="G21" s="12">
        <v>1261.4000000000001</v>
      </c>
      <c r="H21" s="12">
        <v>1247.3</v>
      </c>
      <c r="I21" s="12">
        <v>1239.8</v>
      </c>
      <c r="J21" s="12">
        <v>1243.7</v>
      </c>
      <c r="K21" s="12">
        <v>1239.3</v>
      </c>
      <c r="L21" s="12">
        <v>1233.2</v>
      </c>
      <c r="M21" s="12">
        <v>1240.5999999999999</v>
      </c>
      <c r="N21" s="12">
        <v>1237.7</v>
      </c>
      <c r="O21" s="27"/>
      <c r="Q21" s="12">
        <f t="shared" si="3"/>
        <v>1238.0583333333336</v>
      </c>
      <c r="R21" s="30">
        <f t="shared" si="4"/>
        <v>46.900000000000091</v>
      </c>
      <c r="S21" s="31">
        <f t="shared" si="2"/>
        <v>3.7881898402740914E-2</v>
      </c>
    </row>
    <row r="22" spans="2:31">
      <c r="B22" s="11" t="s">
        <v>22</v>
      </c>
      <c r="C22" s="13">
        <v>796.3</v>
      </c>
      <c r="D22" s="13">
        <v>809.2</v>
      </c>
      <c r="E22" s="13">
        <v>805.6</v>
      </c>
      <c r="F22" s="13">
        <v>801.5</v>
      </c>
      <c r="G22" s="13">
        <v>790.7</v>
      </c>
      <c r="H22" s="13">
        <v>792.3</v>
      </c>
      <c r="I22" s="13">
        <v>805.2</v>
      </c>
      <c r="J22" s="13">
        <v>810.6</v>
      </c>
      <c r="K22" s="13">
        <v>812</v>
      </c>
      <c r="L22" s="13">
        <v>800.4</v>
      </c>
      <c r="M22" s="13">
        <v>805.9</v>
      </c>
      <c r="N22" s="13">
        <v>810</v>
      </c>
      <c r="O22" s="26"/>
      <c r="Q22" s="12">
        <f t="shared" si="3"/>
        <v>803.30833333333339</v>
      </c>
      <c r="R22" s="30">
        <f t="shared" si="4"/>
        <v>21.299999999999955</v>
      </c>
      <c r="S22" s="31">
        <f t="shared" si="2"/>
        <v>2.6515347988007868E-2</v>
      </c>
    </row>
    <row r="23" spans="2:31">
      <c r="B23" s="11" t="s">
        <v>23</v>
      </c>
      <c r="C23" s="13">
        <v>953.7</v>
      </c>
      <c r="D23" s="13">
        <v>957.6</v>
      </c>
      <c r="E23" s="13">
        <v>966.4</v>
      </c>
      <c r="F23" s="13">
        <v>967.7</v>
      </c>
      <c r="G23" s="13">
        <v>971.2</v>
      </c>
      <c r="H23" s="13">
        <v>967.1</v>
      </c>
      <c r="I23" s="13">
        <v>970</v>
      </c>
      <c r="J23" s="13">
        <v>964.9</v>
      </c>
      <c r="K23" s="13">
        <v>976.4</v>
      </c>
      <c r="L23" s="13">
        <v>974.3</v>
      </c>
      <c r="M23" s="13">
        <v>977.1</v>
      </c>
      <c r="N23" s="13">
        <v>965.8</v>
      </c>
      <c r="O23" s="26"/>
      <c r="Q23" s="12">
        <f t="shared" si="3"/>
        <v>967.68333333333328</v>
      </c>
      <c r="R23" s="30">
        <f t="shared" si="4"/>
        <v>23.399999999999977</v>
      </c>
      <c r="S23" s="31">
        <f t="shared" si="2"/>
        <v>2.4181464322006144E-2</v>
      </c>
    </row>
    <row r="26" spans="2:31">
      <c r="B26" s="8" t="s">
        <v>4</v>
      </c>
      <c r="C26" s="6">
        <v>43466</v>
      </c>
      <c r="D26" s="6">
        <v>43497</v>
      </c>
      <c r="E26" s="6">
        <v>43525</v>
      </c>
      <c r="F26" s="6">
        <v>43556</v>
      </c>
      <c r="G26" s="6">
        <v>43586</v>
      </c>
      <c r="H26" s="6">
        <v>43617</v>
      </c>
      <c r="I26" s="6">
        <v>43647</v>
      </c>
      <c r="J26" s="6">
        <v>43678</v>
      </c>
      <c r="K26" s="6">
        <v>43709</v>
      </c>
      <c r="L26" s="6">
        <v>43739</v>
      </c>
      <c r="M26" s="6">
        <v>43770</v>
      </c>
      <c r="N26" s="6">
        <v>43800</v>
      </c>
      <c r="O26" s="29"/>
      <c r="P26" s="83"/>
      <c r="Q26" s="13" t="s">
        <v>24</v>
      </c>
      <c r="R26" s="30" t="s">
        <v>25</v>
      </c>
      <c r="S26" s="31" t="s">
        <v>55</v>
      </c>
      <c r="T26" s="32" t="s">
        <v>59</v>
      </c>
      <c r="AE26" s="1"/>
    </row>
    <row r="27" spans="2:31" s="82" customFormat="1">
      <c r="B27" s="99" t="s">
        <v>5</v>
      </c>
      <c r="C27" s="100">
        <v>18891.400000000001</v>
      </c>
      <c r="D27" s="100">
        <v>18944.099999999999</v>
      </c>
      <c r="E27" s="100">
        <v>18943.900000000001</v>
      </c>
      <c r="F27" s="100">
        <v>19041.599999999999</v>
      </c>
      <c r="G27" s="100">
        <v>19050.400000000001</v>
      </c>
      <c r="H27" s="100">
        <v>19051.2</v>
      </c>
      <c r="I27" s="100">
        <v>19037.900000000001</v>
      </c>
      <c r="J27" s="100">
        <v>19113.3</v>
      </c>
      <c r="K27" s="100">
        <v>19154.900000000001</v>
      </c>
      <c r="L27" s="100">
        <v>19151.7</v>
      </c>
      <c r="M27" s="100">
        <v>19097.2</v>
      </c>
      <c r="N27" s="100">
        <v>19124.599999999999</v>
      </c>
      <c r="O27" s="27"/>
      <c r="Q27" s="100">
        <f>AVERAGE(C27:N27)</f>
        <v>19050.183333333334</v>
      </c>
      <c r="R27" s="101">
        <f>MAX(C27:N27)-MIN(C27:N27)</f>
        <v>263.5</v>
      </c>
      <c r="S27" s="102">
        <f t="shared" ref="S27:S44" si="5">(MAX(C27:N27)-MIN(C27:N27))/AVERAGE(C27:N27)</f>
        <v>1.3831887882093873E-2</v>
      </c>
      <c r="T27" s="102">
        <f>S27-S5</f>
        <v>-8.1485916095669873E-4</v>
      </c>
      <c r="U27" s="105"/>
      <c r="V27" s="105"/>
    </row>
    <row r="28" spans="2:31">
      <c r="B28" s="11" t="s">
        <v>6</v>
      </c>
      <c r="C28" s="12">
        <v>3942.3</v>
      </c>
      <c r="D28" s="12">
        <v>3951.3</v>
      </c>
      <c r="E28" s="12">
        <v>3951.8</v>
      </c>
      <c r="F28" s="12">
        <v>3984.5</v>
      </c>
      <c r="G28" s="12">
        <v>3984.5</v>
      </c>
      <c r="H28" s="12">
        <v>3956.1</v>
      </c>
      <c r="I28" s="12">
        <v>3960.1</v>
      </c>
      <c r="J28" s="12">
        <v>3966.9</v>
      </c>
      <c r="K28" s="12">
        <v>3964.8</v>
      </c>
      <c r="L28" s="12">
        <v>3930.5</v>
      </c>
      <c r="M28" s="12">
        <v>3913.7</v>
      </c>
      <c r="N28" s="12">
        <v>3925.1</v>
      </c>
      <c r="O28" s="27"/>
      <c r="Q28" s="12">
        <f t="shared" ref="Q28:Q45" si="6">AVERAGE(C28:N28)</f>
        <v>3952.6333333333332</v>
      </c>
      <c r="R28" s="30">
        <f t="shared" ref="R28:R45" si="7">MAX(C28:N28)-MIN(C28:N28)</f>
        <v>70.800000000000182</v>
      </c>
      <c r="S28" s="31">
        <f t="shared" si="5"/>
        <v>1.7912109226760266E-2</v>
      </c>
      <c r="T28" s="31">
        <f t="shared" ref="T28:T45" si="8">S28-S6</f>
        <v>3.1489968985246725E-4</v>
      </c>
      <c r="AE28" s="1"/>
    </row>
    <row r="29" spans="2:31">
      <c r="B29" s="11" t="s">
        <v>7</v>
      </c>
      <c r="C29" s="13">
        <v>276.3</v>
      </c>
      <c r="D29" s="13">
        <v>282</v>
      </c>
      <c r="E29" s="13">
        <v>281.8</v>
      </c>
      <c r="F29" s="13">
        <v>287.39999999999998</v>
      </c>
      <c r="G29" s="13">
        <v>289.39999999999998</v>
      </c>
      <c r="H29" s="13">
        <v>288.7</v>
      </c>
      <c r="I29" s="13">
        <v>286.2</v>
      </c>
      <c r="J29" s="13">
        <v>289.39999999999998</v>
      </c>
      <c r="K29" s="13">
        <v>289.60000000000002</v>
      </c>
      <c r="L29" s="13">
        <v>291.8</v>
      </c>
      <c r="M29" s="13">
        <v>293.7</v>
      </c>
      <c r="N29" s="13">
        <v>291.5</v>
      </c>
      <c r="O29" s="26"/>
      <c r="Q29" s="12">
        <f t="shared" si="6"/>
        <v>287.31666666666666</v>
      </c>
      <c r="R29" s="30">
        <f t="shared" si="7"/>
        <v>17.399999999999977</v>
      </c>
      <c r="S29" s="31">
        <f>(MAX(C29:N29)-MIN(C29:N29))/AVERAGE(C29:N29)</f>
        <v>6.0560357329311365E-2</v>
      </c>
      <c r="T29" s="31">
        <f t="shared" si="8"/>
        <v>1.2309742193981468E-2</v>
      </c>
      <c r="AE29" s="1"/>
    </row>
    <row r="30" spans="2:31">
      <c r="B30" s="11" t="s">
        <v>8</v>
      </c>
      <c r="C30" s="13">
        <v>340.7</v>
      </c>
      <c r="D30" s="13">
        <v>347</v>
      </c>
      <c r="E30" s="13">
        <v>345.5</v>
      </c>
      <c r="F30" s="13">
        <v>342.4</v>
      </c>
      <c r="G30" s="13">
        <v>342.3</v>
      </c>
      <c r="H30" s="13">
        <v>334.3</v>
      </c>
      <c r="I30" s="13">
        <v>327.39999999999998</v>
      </c>
      <c r="J30" s="13">
        <v>326.8</v>
      </c>
      <c r="K30" s="13">
        <v>320.60000000000002</v>
      </c>
      <c r="L30" s="13">
        <v>321.7</v>
      </c>
      <c r="M30" s="13">
        <v>316.39999999999998</v>
      </c>
      <c r="N30" s="13">
        <v>315.3</v>
      </c>
      <c r="O30" s="26"/>
      <c r="Q30" s="12">
        <f t="shared" si="6"/>
        <v>331.7</v>
      </c>
      <c r="R30" s="30">
        <f t="shared" si="7"/>
        <v>31.699999999999989</v>
      </c>
      <c r="S30" s="31">
        <f t="shared" si="5"/>
        <v>9.5568284594513081E-2</v>
      </c>
      <c r="T30" s="31">
        <f t="shared" si="8"/>
        <v>5.5363838628408109E-2</v>
      </c>
      <c r="AE30" s="1"/>
    </row>
    <row r="31" spans="2:31">
      <c r="B31" s="11" t="s">
        <v>9</v>
      </c>
      <c r="C31" s="13">
        <v>143.9</v>
      </c>
      <c r="D31" s="13">
        <v>142.30000000000001</v>
      </c>
      <c r="E31" s="13">
        <v>142.5</v>
      </c>
      <c r="F31" s="13">
        <v>143.19999999999999</v>
      </c>
      <c r="G31" s="13">
        <v>142.9</v>
      </c>
      <c r="H31" s="13">
        <v>141</v>
      </c>
      <c r="I31" s="13">
        <v>137</v>
      </c>
      <c r="J31" s="13">
        <v>136.4</v>
      </c>
      <c r="K31" s="13">
        <v>135.6</v>
      </c>
      <c r="L31" s="13">
        <v>134.9</v>
      </c>
      <c r="M31" s="13">
        <v>134.69999999999999</v>
      </c>
      <c r="N31" s="13">
        <v>133.80000000000001</v>
      </c>
      <c r="O31" s="26"/>
      <c r="Q31" s="12">
        <f t="shared" si="6"/>
        <v>139.01666666666668</v>
      </c>
      <c r="R31" s="30">
        <f t="shared" si="7"/>
        <v>10.099999999999994</v>
      </c>
      <c r="S31" s="31">
        <f t="shared" si="5"/>
        <v>7.2653159093633804E-2</v>
      </c>
      <c r="T31" s="31">
        <f t="shared" si="8"/>
        <v>-5.1749305918172908E-2</v>
      </c>
      <c r="AE31" s="1"/>
    </row>
    <row r="32" spans="2:31" s="43" customFormat="1">
      <c r="B32" s="34" t="s">
        <v>10</v>
      </c>
      <c r="C32" s="42">
        <v>1445.2</v>
      </c>
      <c r="D32" s="42">
        <v>1440.6</v>
      </c>
      <c r="E32" s="42">
        <v>1439.1</v>
      </c>
      <c r="F32" s="42">
        <v>1464</v>
      </c>
      <c r="G32" s="42">
        <v>1456.8</v>
      </c>
      <c r="H32" s="42">
        <v>1453.1</v>
      </c>
      <c r="I32" s="42">
        <v>1474.5</v>
      </c>
      <c r="J32" s="42">
        <v>1472.5</v>
      </c>
      <c r="K32" s="42">
        <v>1478.9</v>
      </c>
      <c r="L32" s="42">
        <v>1463.4</v>
      </c>
      <c r="M32" s="42">
        <v>1468.3</v>
      </c>
      <c r="N32" s="42">
        <v>1481.8</v>
      </c>
      <c r="O32" s="91"/>
      <c r="P32" s="84"/>
      <c r="Q32" s="42">
        <f t="shared" si="6"/>
        <v>1461.5166666666664</v>
      </c>
      <c r="R32" s="44">
        <f t="shared" si="7"/>
        <v>42.700000000000045</v>
      </c>
      <c r="S32" s="45">
        <f t="shared" si="5"/>
        <v>2.9216225154234794E-2</v>
      </c>
      <c r="T32" s="45">
        <f t="shared" si="8"/>
        <v>6.3474310950239407E-3</v>
      </c>
      <c r="U32" s="46"/>
      <c r="V32" s="46"/>
    </row>
    <row r="33" spans="2:31">
      <c r="B33" s="11" t="s">
        <v>11</v>
      </c>
      <c r="C33" s="12">
        <v>1736.2</v>
      </c>
      <c r="D33" s="12">
        <v>1739.5</v>
      </c>
      <c r="E33" s="12">
        <v>1743</v>
      </c>
      <c r="F33" s="12">
        <v>1747.5</v>
      </c>
      <c r="G33" s="12">
        <v>1753.2</v>
      </c>
      <c r="H33" s="12">
        <v>1739</v>
      </c>
      <c r="I33" s="12">
        <v>1735</v>
      </c>
      <c r="J33" s="12">
        <v>1741.7</v>
      </c>
      <c r="K33" s="12">
        <v>1740</v>
      </c>
      <c r="L33" s="12">
        <v>1718.7</v>
      </c>
      <c r="M33" s="12">
        <v>1700.6</v>
      </c>
      <c r="N33" s="12">
        <v>1702.7</v>
      </c>
      <c r="O33" s="27"/>
      <c r="Q33" s="12">
        <f t="shared" si="6"/>
        <v>1733.0916666666665</v>
      </c>
      <c r="R33" s="30">
        <f t="shared" si="7"/>
        <v>52.600000000000136</v>
      </c>
      <c r="S33" s="31">
        <f t="shared" si="5"/>
        <v>3.0350385390270841E-2</v>
      </c>
      <c r="T33" s="31">
        <f t="shared" si="8"/>
        <v>-6.2078618867140653E-4</v>
      </c>
      <c r="AE33" s="1"/>
    </row>
    <row r="34" spans="2:31">
      <c r="B34" s="11" t="s">
        <v>12</v>
      </c>
      <c r="C34" s="12">
        <v>14949.1</v>
      </c>
      <c r="D34" s="12">
        <v>14992.8</v>
      </c>
      <c r="E34" s="12">
        <v>14992.1</v>
      </c>
      <c r="F34" s="12">
        <v>15057.1</v>
      </c>
      <c r="G34" s="12">
        <v>15065.9</v>
      </c>
      <c r="H34" s="12">
        <v>15095</v>
      </c>
      <c r="I34" s="12">
        <v>15077.8</v>
      </c>
      <c r="J34" s="12">
        <v>15146.5</v>
      </c>
      <c r="K34" s="12">
        <v>15190.1</v>
      </c>
      <c r="L34" s="12">
        <v>15221.2</v>
      </c>
      <c r="M34" s="12">
        <v>15183.6</v>
      </c>
      <c r="N34" s="12">
        <v>15199.5</v>
      </c>
      <c r="O34" s="27"/>
      <c r="Q34" s="12">
        <f t="shared" si="6"/>
        <v>15097.558333333334</v>
      </c>
      <c r="R34" s="30">
        <f t="shared" si="7"/>
        <v>272.10000000000036</v>
      </c>
      <c r="S34" s="31">
        <f t="shared" si="5"/>
        <v>1.802278182951219E-2</v>
      </c>
      <c r="T34" s="31">
        <f t="shared" si="8"/>
        <v>7.7553909663904616E-4</v>
      </c>
      <c r="AE34" s="1"/>
    </row>
    <row r="35" spans="2:31" s="59" customFormat="1">
      <c r="B35" s="57" t="s">
        <v>13</v>
      </c>
      <c r="C35" s="58">
        <v>2813.4</v>
      </c>
      <c r="D35" s="58">
        <v>2824.8</v>
      </c>
      <c r="E35" s="58">
        <v>2833.9</v>
      </c>
      <c r="F35" s="58">
        <v>2861.8</v>
      </c>
      <c r="G35" s="58">
        <v>2862.5</v>
      </c>
      <c r="H35" s="58">
        <v>2847.9</v>
      </c>
      <c r="I35" s="58">
        <v>2830.2</v>
      </c>
      <c r="J35" s="58">
        <v>2844.8</v>
      </c>
      <c r="K35" s="58">
        <v>2844.1</v>
      </c>
      <c r="L35" s="58">
        <v>2846.1</v>
      </c>
      <c r="M35" s="58">
        <v>2844.8</v>
      </c>
      <c r="N35" s="58">
        <v>2850.8</v>
      </c>
      <c r="O35" s="92"/>
      <c r="P35" s="85"/>
      <c r="Q35" s="58">
        <f t="shared" si="6"/>
        <v>2842.0916666666667</v>
      </c>
      <c r="R35" s="60">
        <f t="shared" si="7"/>
        <v>49.099999999999909</v>
      </c>
      <c r="S35" s="61">
        <f t="shared" si="5"/>
        <v>1.7276008573497773E-2</v>
      </c>
      <c r="T35" s="61">
        <f t="shared" si="8"/>
        <v>-5.3835344769493088E-3</v>
      </c>
      <c r="U35" s="64"/>
      <c r="V35" s="64"/>
    </row>
    <row r="36" spans="2:31">
      <c r="B36" s="11" t="s">
        <v>14</v>
      </c>
      <c r="C36" s="12">
        <v>1042</v>
      </c>
      <c r="D36" s="12">
        <v>1031.0999999999999</v>
      </c>
      <c r="E36" s="12">
        <v>1033.4000000000001</v>
      </c>
      <c r="F36" s="12">
        <v>1034.5999999999999</v>
      </c>
      <c r="G36" s="12">
        <v>1041.9000000000001</v>
      </c>
      <c r="H36" s="12">
        <v>1052.4000000000001</v>
      </c>
      <c r="I36" s="12">
        <v>1039.5999999999999</v>
      </c>
      <c r="J36" s="12">
        <v>1034.3</v>
      </c>
      <c r="K36" s="12">
        <v>1037.5999999999999</v>
      </c>
      <c r="L36" s="12">
        <v>1034.9000000000001</v>
      </c>
      <c r="M36" s="12">
        <v>1031</v>
      </c>
      <c r="N36" s="12">
        <v>1026.0999999999999</v>
      </c>
      <c r="O36" s="27"/>
      <c r="Q36" s="12">
        <f t="shared" si="6"/>
        <v>1036.575</v>
      </c>
      <c r="R36" s="30">
        <f t="shared" si="7"/>
        <v>26.300000000000182</v>
      </c>
      <c r="S36" s="31">
        <f t="shared" si="5"/>
        <v>2.5372018426066789E-2</v>
      </c>
      <c r="T36" s="31">
        <f t="shared" si="8"/>
        <v>-4.0948598416144524E-2</v>
      </c>
      <c r="AE36" s="1"/>
    </row>
    <row r="37" spans="2:31">
      <c r="B37" s="11" t="s">
        <v>15</v>
      </c>
      <c r="C37" s="12">
        <v>1169.5</v>
      </c>
      <c r="D37" s="12">
        <v>1179</v>
      </c>
      <c r="E37" s="12">
        <v>1192.4000000000001</v>
      </c>
      <c r="F37" s="12">
        <v>1200.8</v>
      </c>
      <c r="G37" s="12">
        <v>1197.7</v>
      </c>
      <c r="H37" s="12">
        <v>1198.2</v>
      </c>
      <c r="I37" s="12">
        <v>1204.0999999999999</v>
      </c>
      <c r="J37" s="12">
        <v>1224.7</v>
      </c>
      <c r="K37" s="12">
        <v>1221.8</v>
      </c>
      <c r="L37" s="12">
        <v>1236.3</v>
      </c>
      <c r="M37" s="12">
        <v>1239.0999999999999</v>
      </c>
      <c r="N37" s="12">
        <v>1240.5</v>
      </c>
      <c r="O37" s="27"/>
      <c r="Q37" s="12">
        <f t="shared" si="6"/>
        <v>1208.675</v>
      </c>
      <c r="R37" s="30">
        <f t="shared" si="7"/>
        <v>71</v>
      </c>
      <c r="S37" s="31">
        <f t="shared" si="5"/>
        <v>5.8742010879682297E-2</v>
      </c>
      <c r="T37" s="31">
        <f t="shared" si="8"/>
        <v>3.9391984241429728E-2</v>
      </c>
      <c r="AE37" s="1"/>
    </row>
    <row r="38" spans="2:31">
      <c r="B38" s="11" t="s">
        <v>16</v>
      </c>
      <c r="C38" s="12">
        <v>1521.4</v>
      </c>
      <c r="D38" s="12">
        <v>1538</v>
      </c>
      <c r="E38" s="12">
        <v>1541.5</v>
      </c>
      <c r="F38" s="12">
        <v>1529.8</v>
      </c>
      <c r="G38" s="12">
        <v>1543.5</v>
      </c>
      <c r="H38" s="12">
        <v>1550.9</v>
      </c>
      <c r="I38" s="12">
        <v>1555.8</v>
      </c>
      <c r="J38" s="12">
        <v>1571.6</v>
      </c>
      <c r="K38" s="12">
        <v>1575.9</v>
      </c>
      <c r="L38" s="12">
        <v>1576.7</v>
      </c>
      <c r="M38" s="12">
        <v>1576.9</v>
      </c>
      <c r="N38" s="12">
        <v>1574.3</v>
      </c>
      <c r="O38" s="27"/>
      <c r="Q38" s="12">
        <f t="shared" si="6"/>
        <v>1554.6916666666666</v>
      </c>
      <c r="R38" s="30">
        <f t="shared" si="7"/>
        <v>55.5</v>
      </c>
      <c r="S38" s="31">
        <f t="shared" si="5"/>
        <v>3.5698396788216312E-2</v>
      </c>
      <c r="T38" s="31">
        <f t="shared" si="8"/>
        <v>-5.9578539219624846E-3</v>
      </c>
      <c r="AE38" s="1"/>
    </row>
    <row r="39" spans="2:31">
      <c r="B39" s="11" t="s">
        <v>17</v>
      </c>
      <c r="C39" s="13">
        <v>807.4</v>
      </c>
      <c r="D39" s="13">
        <v>812.7</v>
      </c>
      <c r="E39" s="13">
        <v>797.8</v>
      </c>
      <c r="F39" s="13">
        <v>794.6</v>
      </c>
      <c r="G39" s="13">
        <v>776.4</v>
      </c>
      <c r="H39" s="13">
        <v>768.3</v>
      </c>
      <c r="I39" s="13">
        <v>771.8</v>
      </c>
      <c r="J39" s="13">
        <v>752.6</v>
      </c>
      <c r="K39" s="13">
        <v>756.3</v>
      </c>
      <c r="L39" s="13">
        <v>756.4</v>
      </c>
      <c r="M39" s="13">
        <v>763.9</v>
      </c>
      <c r="N39" s="13">
        <v>758.7</v>
      </c>
      <c r="O39" s="26"/>
      <c r="Q39" s="12">
        <f t="shared" si="6"/>
        <v>776.40833333333342</v>
      </c>
      <c r="R39" s="30">
        <f t="shared" si="7"/>
        <v>60.100000000000023</v>
      </c>
      <c r="S39" s="31">
        <f t="shared" si="5"/>
        <v>7.7407721452414452E-2</v>
      </c>
      <c r="T39" s="31">
        <f t="shared" si="8"/>
        <v>6.3272685769551335E-3</v>
      </c>
      <c r="AE39" s="1"/>
    </row>
    <row r="40" spans="2:31">
      <c r="B40" s="11" t="s">
        <v>18</v>
      </c>
      <c r="C40" s="12">
        <v>1348.2</v>
      </c>
      <c r="D40" s="12">
        <v>1352.1</v>
      </c>
      <c r="E40" s="12">
        <v>1351.7</v>
      </c>
      <c r="F40" s="12">
        <v>1351.3</v>
      </c>
      <c r="G40" s="12">
        <v>1353.2</v>
      </c>
      <c r="H40" s="12">
        <v>1366.3</v>
      </c>
      <c r="I40" s="12">
        <v>1364.5</v>
      </c>
      <c r="J40" s="12">
        <v>1382.7</v>
      </c>
      <c r="K40" s="12">
        <v>1389.7</v>
      </c>
      <c r="L40" s="12">
        <v>1393</v>
      </c>
      <c r="M40" s="12">
        <v>1394.1</v>
      </c>
      <c r="N40" s="12">
        <v>1389.4</v>
      </c>
      <c r="O40" s="27"/>
      <c r="Q40" s="12">
        <f t="shared" si="6"/>
        <v>1369.6833333333334</v>
      </c>
      <c r="R40" s="30">
        <f t="shared" si="7"/>
        <v>45.899999999999864</v>
      </c>
      <c r="S40" s="31">
        <f t="shared" si="5"/>
        <v>3.3511395578053223E-2</v>
      </c>
      <c r="T40" s="31">
        <f t="shared" si="8"/>
        <v>-1.1055026015259296E-2</v>
      </c>
      <c r="AE40" s="1"/>
    </row>
    <row r="41" spans="2:31">
      <c r="B41" s="11" t="s">
        <v>19</v>
      </c>
      <c r="C41" s="12">
        <v>2461.1</v>
      </c>
      <c r="D41" s="12">
        <v>2461.6999999999998</v>
      </c>
      <c r="E41" s="12">
        <v>2446.1999999999998</v>
      </c>
      <c r="F41" s="12">
        <v>2452.6999999999998</v>
      </c>
      <c r="G41" s="12">
        <v>2469.3000000000002</v>
      </c>
      <c r="H41" s="12">
        <v>2489.3000000000002</v>
      </c>
      <c r="I41" s="12">
        <v>2486.9</v>
      </c>
      <c r="J41" s="12">
        <v>2496</v>
      </c>
      <c r="K41" s="12">
        <v>2522.1</v>
      </c>
      <c r="L41" s="12">
        <v>2524.6</v>
      </c>
      <c r="M41" s="12">
        <v>2526.1999999999998</v>
      </c>
      <c r="N41" s="12">
        <v>2530.6999999999998</v>
      </c>
      <c r="O41" s="27"/>
      <c r="Q41" s="12">
        <f t="shared" si="6"/>
        <v>2488.9</v>
      </c>
      <c r="R41" s="30">
        <f t="shared" si="7"/>
        <v>84.5</v>
      </c>
      <c r="S41" s="31">
        <f t="shared" si="5"/>
        <v>3.3950741291333519E-2</v>
      </c>
      <c r="T41" s="31">
        <f t="shared" si="8"/>
        <v>-1.8697820955481462E-3</v>
      </c>
      <c r="AE41" s="1"/>
    </row>
    <row r="42" spans="2:31" s="68" customFormat="1">
      <c r="B42" s="66" t="s">
        <v>20</v>
      </c>
      <c r="C42" s="67">
        <v>762.7</v>
      </c>
      <c r="D42" s="67">
        <v>768.6</v>
      </c>
      <c r="E42" s="67">
        <v>767</v>
      </c>
      <c r="F42" s="67">
        <v>779.4</v>
      </c>
      <c r="G42" s="67">
        <v>782.3</v>
      </c>
      <c r="H42" s="67">
        <v>791.2</v>
      </c>
      <c r="I42" s="67">
        <v>789.7</v>
      </c>
      <c r="J42" s="67">
        <v>793.7</v>
      </c>
      <c r="K42" s="67">
        <v>771.5</v>
      </c>
      <c r="L42" s="67">
        <v>765.3</v>
      </c>
      <c r="M42" s="67">
        <v>759.2</v>
      </c>
      <c r="N42" s="67">
        <v>764.8</v>
      </c>
      <c r="O42" s="93"/>
      <c r="P42" s="86"/>
      <c r="Q42" s="69">
        <f t="shared" si="6"/>
        <v>774.61666666666667</v>
      </c>
      <c r="R42" s="70">
        <f t="shared" si="7"/>
        <v>34.5</v>
      </c>
      <c r="S42" s="71">
        <f t="shared" si="5"/>
        <v>4.4538158659121717E-2</v>
      </c>
      <c r="T42" s="71">
        <f t="shared" si="8"/>
        <v>-7.2431524538787637E-3</v>
      </c>
      <c r="U42" s="74"/>
      <c r="V42" s="74"/>
    </row>
    <row r="43" spans="2:31" s="37" customFormat="1">
      <c r="B43" s="17" t="s">
        <v>21</v>
      </c>
      <c r="C43" s="35">
        <v>1226.2</v>
      </c>
      <c r="D43" s="35">
        <v>1213.8</v>
      </c>
      <c r="E43" s="35">
        <v>1203.3</v>
      </c>
      <c r="F43" s="35">
        <v>1207.3</v>
      </c>
      <c r="G43" s="35">
        <v>1195.9000000000001</v>
      </c>
      <c r="H43" s="35">
        <v>1197.2</v>
      </c>
      <c r="I43" s="35">
        <v>1202.2</v>
      </c>
      <c r="J43" s="35">
        <v>1207.9000000000001</v>
      </c>
      <c r="K43" s="35">
        <v>1227.9000000000001</v>
      </c>
      <c r="L43" s="35">
        <v>1232.8</v>
      </c>
      <c r="M43" s="35">
        <v>1225.3</v>
      </c>
      <c r="N43" s="35">
        <v>1244.9000000000001</v>
      </c>
      <c r="O43" s="94"/>
      <c r="P43" s="87"/>
      <c r="Q43" s="35">
        <f t="shared" si="6"/>
        <v>1215.3916666666664</v>
      </c>
      <c r="R43" s="40">
        <f t="shared" si="7"/>
        <v>49</v>
      </c>
      <c r="S43" s="41">
        <f t="shared" si="5"/>
        <v>4.0316221794071877E-2</v>
      </c>
      <c r="T43" s="41">
        <f t="shared" si="8"/>
        <v>2.4343233913309628E-3</v>
      </c>
      <c r="U43" s="38"/>
      <c r="V43" s="38"/>
    </row>
    <row r="44" spans="2:31">
      <c r="B44" s="11" t="s">
        <v>22</v>
      </c>
      <c r="C44" s="13">
        <v>812.4</v>
      </c>
      <c r="D44" s="13">
        <v>814.5</v>
      </c>
      <c r="E44" s="13">
        <v>820.2</v>
      </c>
      <c r="F44" s="13">
        <v>832.3</v>
      </c>
      <c r="G44" s="13">
        <v>838</v>
      </c>
      <c r="H44" s="13">
        <v>824.4</v>
      </c>
      <c r="I44" s="13">
        <v>815.9</v>
      </c>
      <c r="J44" s="13">
        <v>816.1</v>
      </c>
      <c r="K44" s="13">
        <v>821</v>
      </c>
      <c r="L44" s="13">
        <v>805.6</v>
      </c>
      <c r="M44" s="13">
        <v>804.8</v>
      </c>
      <c r="N44" s="13">
        <v>805.1</v>
      </c>
      <c r="O44" s="26"/>
      <c r="Q44" s="12">
        <f t="shared" si="6"/>
        <v>817.52499999999998</v>
      </c>
      <c r="R44" s="30">
        <f t="shared" si="7"/>
        <v>33.200000000000045</v>
      </c>
      <c r="S44" s="31">
        <f t="shared" si="5"/>
        <v>4.061037888749585E-2</v>
      </c>
      <c r="T44" s="31">
        <f t="shared" si="8"/>
        <v>1.4095030899487982E-2</v>
      </c>
      <c r="AE44" s="1"/>
    </row>
    <row r="45" spans="2:31">
      <c r="B45" s="11" t="s">
        <v>23</v>
      </c>
      <c r="C45" s="13">
        <v>984.8</v>
      </c>
      <c r="D45" s="13">
        <v>996.6</v>
      </c>
      <c r="E45" s="12">
        <v>1004.6</v>
      </c>
      <c r="F45" s="12">
        <v>1012.5</v>
      </c>
      <c r="G45" s="12">
        <v>1005.2</v>
      </c>
      <c r="H45" s="12">
        <v>1008.9</v>
      </c>
      <c r="I45" s="12">
        <v>1017</v>
      </c>
      <c r="J45" s="12">
        <v>1022.2</v>
      </c>
      <c r="K45" s="12">
        <v>1022.2</v>
      </c>
      <c r="L45" s="12">
        <v>1049.4000000000001</v>
      </c>
      <c r="M45" s="12">
        <v>1018.3</v>
      </c>
      <c r="N45" s="12">
        <v>1014.4</v>
      </c>
      <c r="O45" s="27"/>
      <c r="Q45" s="12">
        <f t="shared" si="6"/>
        <v>1013.0083333333332</v>
      </c>
      <c r="R45" s="30">
        <f t="shared" si="7"/>
        <v>64.600000000000136</v>
      </c>
      <c r="S45" s="31">
        <f>(MAX(C45:N45)-MIN(C45:N45))/AVERAGE(C45:N45)</f>
        <v>6.3770452694532104E-2</v>
      </c>
      <c r="T45" s="31">
        <f t="shared" si="8"/>
        <v>3.958898837252596E-2</v>
      </c>
      <c r="AE45" s="1"/>
    </row>
    <row r="46" spans="2:31">
      <c r="Q46" s="3"/>
    </row>
    <row r="47" spans="2:31">
      <c r="Q47" s="3"/>
    </row>
    <row r="48" spans="2:31">
      <c r="B48" s="8" t="s">
        <v>4</v>
      </c>
      <c r="C48" s="6">
        <v>43831</v>
      </c>
      <c r="D48" s="6">
        <v>43862</v>
      </c>
      <c r="E48" s="6">
        <v>43891</v>
      </c>
      <c r="F48" s="6">
        <v>43922</v>
      </c>
      <c r="G48" s="6">
        <v>43952</v>
      </c>
      <c r="H48" s="6">
        <v>43983</v>
      </c>
      <c r="I48" s="6">
        <v>44013</v>
      </c>
      <c r="J48" s="6">
        <v>44044</v>
      </c>
      <c r="K48" s="6">
        <v>44075</v>
      </c>
      <c r="L48" s="6">
        <v>44105</v>
      </c>
      <c r="M48" s="6">
        <v>44136</v>
      </c>
      <c r="N48" s="81">
        <v>44166</v>
      </c>
      <c r="O48" s="29"/>
      <c r="Q48" s="13" t="s">
        <v>24</v>
      </c>
      <c r="R48" s="30" t="s">
        <v>25</v>
      </c>
      <c r="S48" s="31" t="s">
        <v>55</v>
      </c>
      <c r="T48" s="48" t="s">
        <v>59</v>
      </c>
      <c r="U48" s="52"/>
    </row>
    <row r="49" spans="2:31" s="82" customFormat="1">
      <c r="B49" s="99" t="s">
        <v>5</v>
      </c>
      <c r="C49" s="100">
        <v>19159.099999999999</v>
      </c>
      <c r="D49" s="100">
        <v>19189.400000000001</v>
      </c>
      <c r="E49" s="100">
        <v>18178.7</v>
      </c>
      <c r="F49" s="100">
        <v>16184.9</v>
      </c>
      <c r="G49" s="100">
        <v>16474.5</v>
      </c>
      <c r="H49" s="100">
        <v>17427.400000000001</v>
      </c>
      <c r="I49" s="100">
        <v>17845.900000000001</v>
      </c>
      <c r="J49" s="100">
        <v>18091.7</v>
      </c>
      <c r="K49" s="100">
        <v>18469.900000000001</v>
      </c>
      <c r="L49" s="100">
        <v>18553.5</v>
      </c>
      <c r="M49" s="100">
        <v>18615.599999999999</v>
      </c>
      <c r="N49" s="101"/>
      <c r="O49" s="28"/>
      <c r="Q49" s="100">
        <f t="shared" ref="Q49:Q65" si="9">AVERAGE(B49:M49)</f>
        <v>18017.327272727274</v>
      </c>
      <c r="R49" s="101">
        <f t="shared" ref="R49:R66" si="10">MAX(B49:M49)-MIN(B49:M49)</f>
        <v>3004.5000000000018</v>
      </c>
      <c r="S49" s="102">
        <f t="shared" ref="S49:S67" si="11">(MAX(C49:M49)-MIN(C49:M49))/AVERAGE(C49:M49)</f>
        <v>0.16675614282412998</v>
      </c>
      <c r="T49" s="103">
        <f>S49-S27</f>
        <v>0.1529242549420361</v>
      </c>
      <c r="U49" s="104"/>
      <c r="V49" s="105"/>
      <c r="AE49" s="106"/>
    </row>
    <row r="50" spans="2:31">
      <c r="B50" s="11" t="s">
        <v>6</v>
      </c>
      <c r="C50" s="12">
        <v>3974.2</v>
      </c>
      <c r="D50" s="12">
        <v>3979.8</v>
      </c>
      <c r="E50" s="12">
        <v>3932.6</v>
      </c>
      <c r="F50" s="12">
        <v>3312.1</v>
      </c>
      <c r="G50" s="12">
        <v>3476.8</v>
      </c>
      <c r="H50" s="12">
        <v>3635.4</v>
      </c>
      <c r="I50" s="12">
        <v>3706</v>
      </c>
      <c r="J50" s="12">
        <v>3733.6</v>
      </c>
      <c r="K50" s="12">
        <v>3808.7</v>
      </c>
      <c r="L50" s="12">
        <v>3826.3</v>
      </c>
      <c r="M50" s="12">
        <v>3870.5</v>
      </c>
      <c r="N50" s="30"/>
      <c r="O50" s="28"/>
      <c r="Q50" s="12">
        <f t="shared" si="9"/>
        <v>3750.5454545454545</v>
      </c>
      <c r="R50" s="30">
        <f t="shared" si="10"/>
        <v>667.70000000000027</v>
      </c>
      <c r="S50" s="31">
        <f t="shared" si="11"/>
        <v>0.17802743843319768</v>
      </c>
      <c r="T50" s="49">
        <f t="shared" ref="T50:T66" si="12">S50-S28</f>
        <v>0.16011532920643742</v>
      </c>
      <c r="U50" s="53"/>
    </row>
    <row r="51" spans="2:31">
      <c r="B51" s="11" t="s">
        <v>7</v>
      </c>
      <c r="C51" s="13">
        <v>303</v>
      </c>
      <c r="D51" s="13">
        <v>301.5</v>
      </c>
      <c r="E51" s="13">
        <v>290.7</v>
      </c>
      <c r="F51" s="13">
        <v>279.5</v>
      </c>
      <c r="G51" s="13">
        <v>277.2</v>
      </c>
      <c r="H51" s="13">
        <v>275.60000000000002</v>
      </c>
      <c r="I51" s="13">
        <v>274.60000000000002</v>
      </c>
      <c r="J51" s="13">
        <v>273.3</v>
      </c>
      <c r="K51" s="13">
        <v>272.2</v>
      </c>
      <c r="L51" s="13">
        <v>273.2</v>
      </c>
      <c r="M51" s="13">
        <v>281.7</v>
      </c>
      <c r="N51" s="30"/>
      <c r="O51" s="28"/>
      <c r="Q51" s="12">
        <f t="shared" si="9"/>
        <v>282.0454545454545</v>
      </c>
      <c r="R51" s="30">
        <f t="shared" si="10"/>
        <v>30.800000000000011</v>
      </c>
      <c r="S51" s="31">
        <f t="shared" si="11"/>
        <v>0.1092022562449638</v>
      </c>
      <c r="T51" s="49">
        <f t="shared" si="12"/>
        <v>4.8641898915652432E-2</v>
      </c>
      <c r="U51" s="53"/>
    </row>
    <row r="52" spans="2:31">
      <c r="B52" s="11" t="s">
        <v>8</v>
      </c>
      <c r="C52" s="13">
        <v>314</v>
      </c>
      <c r="D52" s="13">
        <v>310.60000000000002</v>
      </c>
      <c r="E52" s="13">
        <v>316.2</v>
      </c>
      <c r="F52" s="13">
        <v>287.60000000000002</v>
      </c>
      <c r="G52" s="13">
        <v>301.7</v>
      </c>
      <c r="H52" s="13">
        <v>296.2</v>
      </c>
      <c r="I52" s="13">
        <v>307.10000000000002</v>
      </c>
      <c r="J52" s="13">
        <v>298</v>
      </c>
      <c r="K52" s="13">
        <v>298.8</v>
      </c>
      <c r="L52" s="13">
        <v>310.60000000000002</v>
      </c>
      <c r="M52" s="13">
        <v>320.3</v>
      </c>
      <c r="N52" s="30"/>
      <c r="O52" s="28"/>
      <c r="Q52" s="12">
        <f t="shared" si="9"/>
        <v>305.55454545454546</v>
      </c>
      <c r="R52" s="30">
        <f t="shared" si="10"/>
        <v>32.699999999999989</v>
      </c>
      <c r="S52" s="31">
        <f t="shared" si="11"/>
        <v>0.10701853559846475</v>
      </c>
      <c r="T52" s="49">
        <f t="shared" si="12"/>
        <v>1.1450251003951667E-2</v>
      </c>
      <c r="U52" s="53"/>
    </row>
    <row r="53" spans="2:31">
      <c r="B53" s="11" t="s">
        <v>9</v>
      </c>
      <c r="C53" s="13">
        <v>136.4</v>
      </c>
      <c r="D53" s="13">
        <v>138.80000000000001</v>
      </c>
      <c r="E53" s="13">
        <v>133.5</v>
      </c>
      <c r="F53" s="13">
        <v>133.5</v>
      </c>
      <c r="G53" s="13">
        <v>133.80000000000001</v>
      </c>
      <c r="H53" s="13">
        <v>134.80000000000001</v>
      </c>
      <c r="I53" s="13">
        <v>132.6</v>
      </c>
      <c r="J53" s="13">
        <v>136.80000000000001</v>
      </c>
      <c r="K53" s="13">
        <v>143.6</v>
      </c>
      <c r="L53" s="13">
        <v>144.30000000000001</v>
      </c>
      <c r="M53" s="13">
        <v>140.19999999999999</v>
      </c>
      <c r="N53" s="30"/>
      <c r="O53" s="28"/>
      <c r="Q53" s="12">
        <f t="shared" si="9"/>
        <v>137.11818181818182</v>
      </c>
      <c r="R53" s="30">
        <f t="shared" si="10"/>
        <v>11.700000000000017</v>
      </c>
      <c r="S53" s="31">
        <f t="shared" si="11"/>
        <v>8.5327852549227728E-2</v>
      </c>
      <c r="T53" s="49">
        <f t="shared" si="12"/>
        <v>1.2674693455593924E-2</v>
      </c>
      <c r="U53" s="53"/>
    </row>
    <row r="54" spans="2:31" s="43" customFormat="1">
      <c r="B54" s="34" t="s">
        <v>10</v>
      </c>
      <c r="C54" s="42">
        <v>1497.6</v>
      </c>
      <c r="D54" s="42">
        <v>1489.7</v>
      </c>
      <c r="E54" s="42">
        <v>1487.5</v>
      </c>
      <c r="F54" s="42">
        <v>1173.9000000000001</v>
      </c>
      <c r="G54" s="42">
        <v>1247.5999999999999</v>
      </c>
      <c r="H54" s="42">
        <v>1330.8</v>
      </c>
      <c r="I54" s="42">
        <v>1364.3</v>
      </c>
      <c r="J54" s="42">
        <v>1368.8</v>
      </c>
      <c r="K54" s="42">
        <v>1369.4</v>
      </c>
      <c r="L54" s="42">
        <v>1377.8</v>
      </c>
      <c r="M54" s="42">
        <v>1404.1</v>
      </c>
      <c r="N54" s="44">
        <f>108.52*LN(9)+1185.7+'Keyword Search'!B18/1000</f>
        <v>1442.7588111325265</v>
      </c>
      <c r="O54" s="95"/>
      <c r="P54" s="84"/>
      <c r="Q54" s="12">
        <f t="shared" si="9"/>
        <v>1373.772727272727</v>
      </c>
      <c r="R54" s="30">
        <f t="shared" si="10"/>
        <v>323.69999999999982</v>
      </c>
      <c r="S54" s="45">
        <f t="shared" si="11"/>
        <v>0.23562849485491172</v>
      </c>
      <c r="T54" s="50">
        <f t="shared" si="12"/>
        <v>0.20641226970067691</v>
      </c>
      <c r="U54" s="54"/>
      <c r="V54" s="46"/>
      <c r="AE54" s="47"/>
    </row>
    <row r="55" spans="2:31">
      <c r="B55" s="11" t="s">
        <v>11</v>
      </c>
      <c r="C55" s="12">
        <v>1723.2</v>
      </c>
      <c r="D55" s="12">
        <v>1739.2</v>
      </c>
      <c r="E55" s="12">
        <v>1704.7</v>
      </c>
      <c r="F55" s="12">
        <v>1437.6</v>
      </c>
      <c r="G55" s="12">
        <v>1516.7</v>
      </c>
      <c r="H55" s="12">
        <v>1598</v>
      </c>
      <c r="I55" s="12">
        <v>1627.3</v>
      </c>
      <c r="J55" s="12">
        <v>1656.7</v>
      </c>
      <c r="K55" s="12">
        <v>1724.7</v>
      </c>
      <c r="L55" s="12">
        <v>1720.4</v>
      </c>
      <c r="M55" s="12">
        <v>1724.2</v>
      </c>
      <c r="N55" s="30"/>
      <c r="O55" s="28"/>
      <c r="Q55" s="12">
        <f t="shared" si="9"/>
        <v>1652.0636363636368</v>
      </c>
      <c r="R55" s="30">
        <f t="shared" si="10"/>
        <v>301.60000000000014</v>
      </c>
      <c r="S55" s="31">
        <f t="shared" si="11"/>
        <v>0.18255955361613854</v>
      </c>
      <c r="T55" s="49">
        <f t="shared" si="12"/>
        <v>0.15220916822586769</v>
      </c>
      <c r="U55" s="53"/>
    </row>
    <row r="56" spans="2:31">
      <c r="B56" s="11" t="s">
        <v>12</v>
      </c>
      <c r="C56" s="12">
        <v>15185</v>
      </c>
      <c r="D56" s="12">
        <v>15209.6</v>
      </c>
      <c r="E56" s="12">
        <v>14246.1</v>
      </c>
      <c r="F56" s="12">
        <v>12872.8</v>
      </c>
      <c r="G56" s="12">
        <v>12997.7</v>
      </c>
      <c r="H56" s="12">
        <v>13792.1</v>
      </c>
      <c r="I56" s="12">
        <v>14140</v>
      </c>
      <c r="J56" s="12">
        <v>14358.1</v>
      </c>
      <c r="K56" s="12">
        <v>14661.2</v>
      </c>
      <c r="L56" s="12">
        <v>14727.2</v>
      </c>
      <c r="M56" s="12">
        <v>14745.1</v>
      </c>
      <c r="N56" s="30"/>
      <c r="O56" s="28"/>
      <c r="Q56" s="12">
        <f t="shared" si="9"/>
        <v>14266.809090909093</v>
      </c>
      <c r="R56" s="30">
        <f t="shared" si="10"/>
        <v>2336.8000000000011</v>
      </c>
      <c r="S56" s="31">
        <f t="shared" si="11"/>
        <v>0.16379275737901516</v>
      </c>
      <c r="T56" s="49">
        <f t="shared" si="12"/>
        <v>0.14576997554950297</v>
      </c>
      <c r="U56" s="53"/>
    </row>
    <row r="57" spans="2:31" s="59" customFormat="1">
      <c r="B57" s="57" t="s">
        <v>13</v>
      </c>
      <c r="C57" s="58">
        <v>2858.7</v>
      </c>
      <c r="D57" s="58">
        <v>2881.3</v>
      </c>
      <c r="E57" s="58">
        <v>2673.8</v>
      </c>
      <c r="F57" s="58">
        <v>2299.1</v>
      </c>
      <c r="G57" s="58">
        <v>2406.1</v>
      </c>
      <c r="H57" s="58">
        <v>2628.2</v>
      </c>
      <c r="I57" s="58">
        <v>2729.5</v>
      </c>
      <c r="J57" s="58">
        <v>2757.5</v>
      </c>
      <c r="K57" s="58">
        <v>2755.5</v>
      </c>
      <c r="L57" s="58">
        <v>2800.8</v>
      </c>
      <c r="M57" s="58">
        <v>2827.9</v>
      </c>
      <c r="N57" s="110">
        <f>270.41*LN(9)+2292.1+'Keyword Search'!B19/1000</f>
        <v>2928.2964979574872</v>
      </c>
      <c r="O57" s="96"/>
      <c r="P57" s="85"/>
      <c r="Q57" s="12">
        <f t="shared" si="9"/>
        <v>2692.5818181818181</v>
      </c>
      <c r="R57" s="30">
        <f t="shared" si="10"/>
        <v>582.20000000000027</v>
      </c>
      <c r="S57" s="61">
        <f t="shared" si="11"/>
        <v>0.21622369878183842</v>
      </c>
      <c r="T57" s="62">
        <f t="shared" si="12"/>
        <v>0.19894769020834063</v>
      </c>
      <c r="U57" s="63"/>
      <c r="V57" s="64"/>
      <c r="AE57" s="65"/>
    </row>
    <row r="58" spans="2:31">
      <c r="B58" s="11" t="s">
        <v>14</v>
      </c>
      <c r="C58" s="12">
        <v>1032.2</v>
      </c>
      <c r="D58" s="12">
        <v>1033.0999999999999</v>
      </c>
      <c r="E58" s="13">
        <v>992.7</v>
      </c>
      <c r="F58" s="13">
        <v>889.9</v>
      </c>
      <c r="G58" s="13">
        <v>865.4</v>
      </c>
      <c r="H58" s="13">
        <v>909.3</v>
      </c>
      <c r="I58" s="13">
        <v>920</v>
      </c>
      <c r="J58" s="13">
        <v>927.4</v>
      </c>
      <c r="K58" s="13">
        <v>950.7</v>
      </c>
      <c r="L58" s="13">
        <v>946.7</v>
      </c>
      <c r="M58" s="13">
        <v>967</v>
      </c>
      <c r="N58" s="30"/>
      <c r="O58" s="28"/>
      <c r="Q58" s="12">
        <f t="shared" si="9"/>
        <v>948.58181818181833</v>
      </c>
      <c r="R58" s="30">
        <f t="shared" si="10"/>
        <v>167.69999999999993</v>
      </c>
      <c r="S58" s="31">
        <f t="shared" si="11"/>
        <v>0.17679023230851787</v>
      </c>
      <c r="T58" s="49">
        <f t="shared" si="12"/>
        <v>0.15141821388245108</v>
      </c>
      <c r="U58" s="53"/>
    </row>
    <row r="59" spans="2:31">
      <c r="B59" s="11" t="s">
        <v>15</v>
      </c>
      <c r="C59" s="12">
        <v>1238.9000000000001</v>
      </c>
      <c r="D59" s="12">
        <v>1243</v>
      </c>
      <c r="E59" s="12">
        <v>1221.0999999999999</v>
      </c>
      <c r="F59" s="12">
        <v>1198</v>
      </c>
      <c r="G59" s="12">
        <v>1213.9000000000001</v>
      </c>
      <c r="H59" s="12">
        <v>1230.9000000000001</v>
      </c>
      <c r="I59" s="12">
        <v>1227.8</v>
      </c>
      <c r="J59" s="12">
        <v>1220.2</v>
      </c>
      <c r="K59" s="12">
        <v>1240.8</v>
      </c>
      <c r="L59" s="12">
        <v>1255.8</v>
      </c>
      <c r="M59" s="12">
        <v>1271</v>
      </c>
      <c r="N59" s="30"/>
      <c r="O59" s="28"/>
      <c r="Q59" s="12">
        <f t="shared" si="9"/>
        <v>1232.8545454545454</v>
      </c>
      <c r="R59" s="30">
        <f t="shared" si="10"/>
        <v>73</v>
      </c>
      <c r="S59" s="31">
        <f t="shared" si="11"/>
        <v>5.9212175734068756E-2</v>
      </c>
      <c r="T59" s="49">
        <f t="shared" si="12"/>
        <v>4.701648543864595E-4</v>
      </c>
      <c r="U59" s="53"/>
    </row>
    <row r="60" spans="2:31">
      <c r="B60" s="11" t="s">
        <v>16</v>
      </c>
      <c r="C60" s="12">
        <v>1577.6</v>
      </c>
      <c r="D60" s="12">
        <v>1562.9</v>
      </c>
      <c r="E60" s="12">
        <v>1559.6</v>
      </c>
      <c r="F60" s="12">
        <v>1488.7</v>
      </c>
      <c r="G60" s="12">
        <v>1475.8</v>
      </c>
      <c r="H60" s="12">
        <v>1484.9</v>
      </c>
      <c r="I60" s="12">
        <v>1517.8</v>
      </c>
      <c r="J60" s="12">
        <v>1544.1</v>
      </c>
      <c r="K60" s="12">
        <v>1572.3</v>
      </c>
      <c r="L60" s="12">
        <v>1614.1</v>
      </c>
      <c r="M60" s="12">
        <v>1620.6</v>
      </c>
      <c r="N60" s="30"/>
      <c r="O60" s="28"/>
      <c r="Q60" s="12">
        <f t="shared" si="9"/>
        <v>1547.1272727272726</v>
      </c>
      <c r="R60" s="30">
        <f t="shared" si="10"/>
        <v>144.79999999999995</v>
      </c>
      <c r="S60" s="31">
        <f t="shared" si="11"/>
        <v>9.3592817186104432E-2</v>
      </c>
      <c r="T60" s="49">
        <f t="shared" si="12"/>
        <v>5.789442039788812E-2</v>
      </c>
      <c r="U60" s="53"/>
    </row>
    <row r="61" spans="2:31">
      <c r="B61" s="11" t="s">
        <v>17</v>
      </c>
      <c r="C61" s="13">
        <v>755.2</v>
      </c>
      <c r="D61" s="13">
        <v>762.5</v>
      </c>
      <c r="E61" s="13">
        <v>742.3</v>
      </c>
      <c r="F61" s="13">
        <v>668</v>
      </c>
      <c r="G61" s="13">
        <v>637.9</v>
      </c>
      <c r="H61" s="13">
        <v>708.8</v>
      </c>
      <c r="I61" s="13">
        <v>688.7</v>
      </c>
      <c r="J61" s="13">
        <v>700.6</v>
      </c>
      <c r="K61" s="13">
        <v>703.9</v>
      </c>
      <c r="L61" s="13">
        <v>702.3</v>
      </c>
      <c r="M61" s="13">
        <v>700.4</v>
      </c>
      <c r="N61" s="30"/>
      <c r="O61" s="28"/>
      <c r="Q61" s="12">
        <f t="shared" si="9"/>
        <v>706.41818181818178</v>
      </c>
      <c r="R61" s="30">
        <f t="shared" si="10"/>
        <v>124.60000000000002</v>
      </c>
      <c r="S61" s="31">
        <f t="shared" si="11"/>
        <v>0.17638277610480532</v>
      </c>
      <c r="T61" s="49">
        <f t="shared" si="12"/>
        <v>9.897505465239087E-2</v>
      </c>
      <c r="U61" s="53"/>
    </row>
    <row r="62" spans="2:31">
      <c r="B62" s="11" t="s">
        <v>54</v>
      </c>
      <c r="C62" s="12">
        <v>1390.3</v>
      </c>
      <c r="D62" s="12">
        <v>1385.6</v>
      </c>
      <c r="E62" s="12">
        <v>1260.2</v>
      </c>
      <c r="F62" s="12">
        <v>1225.8</v>
      </c>
      <c r="G62" s="12">
        <v>1248.0999999999999</v>
      </c>
      <c r="H62" s="12">
        <v>1282.7</v>
      </c>
      <c r="I62" s="12">
        <v>1302.5</v>
      </c>
      <c r="J62" s="12">
        <v>1353</v>
      </c>
      <c r="K62" s="12">
        <v>1421.3</v>
      </c>
      <c r="L62" s="12">
        <v>1424.7</v>
      </c>
      <c r="M62" s="12">
        <v>1422.6</v>
      </c>
      <c r="N62" s="30"/>
      <c r="O62" s="28"/>
      <c r="Q62" s="12">
        <f t="shared" si="9"/>
        <v>1337.8909090909092</v>
      </c>
      <c r="R62" s="30">
        <f t="shared" si="10"/>
        <v>198.90000000000009</v>
      </c>
      <c r="S62" s="31">
        <f t="shared" si="11"/>
        <v>0.14866682974559692</v>
      </c>
      <c r="T62" s="49">
        <f t="shared" si="12"/>
        <v>0.1151554341675437</v>
      </c>
      <c r="U62" s="53"/>
    </row>
    <row r="63" spans="2:31">
      <c r="B63" s="11" t="s">
        <v>19</v>
      </c>
      <c r="C63" s="12">
        <v>2514.6999999999998</v>
      </c>
      <c r="D63" s="12">
        <v>2516.9</v>
      </c>
      <c r="E63" s="12">
        <v>2416.9</v>
      </c>
      <c r="F63" s="12">
        <v>2287.8000000000002</v>
      </c>
      <c r="G63" s="12">
        <v>2291.1999999999998</v>
      </c>
      <c r="H63" s="12">
        <v>2412.3000000000002</v>
      </c>
      <c r="I63" s="12">
        <v>2453.4</v>
      </c>
      <c r="J63" s="12">
        <v>2464.1999999999998</v>
      </c>
      <c r="K63" s="12">
        <v>2479.5</v>
      </c>
      <c r="L63" s="12">
        <v>2497</v>
      </c>
      <c r="M63" s="12">
        <v>2494.6999999999998</v>
      </c>
      <c r="N63" s="30"/>
      <c r="O63" s="28"/>
      <c r="Q63" s="12">
        <f t="shared" si="9"/>
        <v>2438.9636363636364</v>
      </c>
      <c r="R63" s="30">
        <f t="shared" si="10"/>
        <v>229.09999999999991</v>
      </c>
      <c r="S63" s="31">
        <f t="shared" si="11"/>
        <v>9.393333979410029E-2</v>
      </c>
      <c r="T63" s="49">
        <f t="shared" si="12"/>
        <v>5.9982598502766771E-2</v>
      </c>
      <c r="U63" s="53"/>
    </row>
    <row r="64" spans="2:31" s="68" customFormat="1">
      <c r="B64" s="66" t="s">
        <v>20</v>
      </c>
      <c r="C64" s="67">
        <v>764.3</v>
      </c>
      <c r="D64" s="67">
        <v>778.7</v>
      </c>
      <c r="E64" s="67">
        <v>675</v>
      </c>
      <c r="F64" s="67">
        <v>593</v>
      </c>
      <c r="G64" s="67">
        <v>586.4</v>
      </c>
      <c r="H64" s="67">
        <v>646.79999999999995</v>
      </c>
      <c r="I64" s="67">
        <v>669.8</v>
      </c>
      <c r="J64" s="67">
        <v>678</v>
      </c>
      <c r="K64" s="67">
        <v>734.1</v>
      </c>
      <c r="L64" s="67">
        <v>722.8</v>
      </c>
      <c r="M64" s="67">
        <v>697.2</v>
      </c>
      <c r="N64" s="70">
        <f>70.916*LN(9)+571.01+'Keyword Search'!B17/1000</f>
        <v>736.27037812637536</v>
      </c>
      <c r="O64" s="97"/>
      <c r="P64" s="86"/>
      <c r="Q64" s="12">
        <f t="shared" si="9"/>
        <v>686.0090909090909</v>
      </c>
      <c r="R64" s="30">
        <f t="shared" si="10"/>
        <v>192.30000000000007</v>
      </c>
      <c r="S64" s="71">
        <f t="shared" si="11"/>
        <v>0.28031698493261431</v>
      </c>
      <c r="T64" s="72">
        <f t="shared" si="12"/>
        <v>0.23577882627349259</v>
      </c>
      <c r="U64" s="73"/>
      <c r="V64" s="74"/>
      <c r="AE64" s="75"/>
    </row>
    <row r="65" spans="2:31" s="37" customFormat="1">
      <c r="B65" s="17" t="s">
        <v>21</v>
      </c>
      <c r="C65" s="35">
        <v>1242.7</v>
      </c>
      <c r="D65" s="35">
        <v>1229.4000000000001</v>
      </c>
      <c r="E65" s="36">
        <v>935</v>
      </c>
      <c r="F65" s="36">
        <v>614.4</v>
      </c>
      <c r="G65" s="36">
        <v>656.3</v>
      </c>
      <c r="H65" s="36">
        <v>820</v>
      </c>
      <c r="I65" s="36">
        <v>920.5</v>
      </c>
      <c r="J65" s="36">
        <v>969.4</v>
      </c>
      <c r="K65" s="35">
        <v>1041.3</v>
      </c>
      <c r="L65" s="36">
        <v>993.1</v>
      </c>
      <c r="M65" s="36">
        <v>969.3</v>
      </c>
      <c r="N65" s="40">
        <f>215.88*LN(9)+586.87+'Keyword Search'!B16/1000</f>
        <v>1097.879841755343</v>
      </c>
      <c r="O65" s="98"/>
      <c r="P65" s="87"/>
      <c r="Q65" s="12">
        <f t="shared" si="9"/>
        <v>944.67272727272723</v>
      </c>
      <c r="R65" s="30">
        <f t="shared" si="10"/>
        <v>628.30000000000007</v>
      </c>
      <c r="S65" s="41">
        <f>(MAX(C65:M65)-MIN(C65:M65))/AVERAGE(C65:M65)</f>
        <v>0.6650980618588449</v>
      </c>
      <c r="T65" s="51">
        <f t="shared" si="12"/>
        <v>0.624781840064773</v>
      </c>
      <c r="U65" s="55"/>
      <c r="V65" s="38"/>
      <c r="AE65" s="39"/>
    </row>
    <row r="66" spans="2:31">
      <c r="B66" s="11" t="s">
        <v>53</v>
      </c>
      <c r="C66" s="13">
        <v>797.5</v>
      </c>
      <c r="D66" s="13">
        <v>805.3</v>
      </c>
      <c r="E66" s="13">
        <v>765.3</v>
      </c>
      <c r="F66" s="13">
        <v>622.29999999999995</v>
      </c>
      <c r="G66" s="13">
        <v>634.1</v>
      </c>
      <c r="H66" s="13">
        <v>679.6</v>
      </c>
      <c r="I66" s="13">
        <v>719.1</v>
      </c>
      <c r="J66" s="13">
        <v>756.8</v>
      </c>
      <c r="K66" s="13">
        <v>760</v>
      </c>
      <c r="L66" s="13">
        <v>763.5</v>
      </c>
      <c r="M66" s="13">
        <v>761.3</v>
      </c>
      <c r="N66" s="30"/>
      <c r="O66" s="28"/>
      <c r="Q66" s="12">
        <f>AVERAGE(B66:M66)</f>
        <v>733.16363636363633</v>
      </c>
      <c r="R66" s="30">
        <f t="shared" si="10"/>
        <v>183</v>
      </c>
      <c r="S66" s="31">
        <f t="shared" si="11"/>
        <v>0.24960321396686838</v>
      </c>
      <c r="T66" s="49">
        <f t="shared" si="12"/>
        <v>0.20899283507937252</v>
      </c>
      <c r="U66" s="53"/>
    </row>
    <row r="67" spans="2:31">
      <c r="B67" s="11" t="s">
        <v>23</v>
      </c>
      <c r="C67" s="12">
        <v>1012.7</v>
      </c>
      <c r="D67" s="12">
        <v>1010.9</v>
      </c>
      <c r="E67" s="12">
        <v>1004.3</v>
      </c>
      <c r="F67" s="13">
        <v>985.8</v>
      </c>
      <c r="G67" s="13">
        <v>982.7</v>
      </c>
      <c r="H67" s="13">
        <v>988.7</v>
      </c>
      <c r="I67" s="13">
        <v>991</v>
      </c>
      <c r="J67" s="13">
        <v>986.9</v>
      </c>
      <c r="K67" s="12">
        <v>1001.8</v>
      </c>
      <c r="L67" s="12">
        <v>1006.4</v>
      </c>
      <c r="M67" s="12">
        <v>1012.9</v>
      </c>
      <c r="N67" s="30"/>
      <c r="O67" s="28"/>
      <c r="Q67" s="12">
        <f>AVERAGE(B67:M67)</f>
        <v>998.55454545454529</v>
      </c>
      <c r="R67" s="30">
        <f>MAX(B67:M67)-MIN(B67:M67)</f>
        <v>30.199999999999932</v>
      </c>
      <c r="S67" s="31">
        <f t="shared" si="11"/>
        <v>3.0243715916643085E-2</v>
      </c>
      <c r="T67" s="49">
        <f>S67-S45</f>
        <v>-3.3526736777889019E-2</v>
      </c>
      <c r="U67" s="53"/>
    </row>
    <row r="70" spans="2:31">
      <c r="B70" s="11" t="s">
        <v>75</v>
      </c>
      <c r="C70" s="13">
        <v>0</v>
      </c>
      <c r="D70" s="13">
        <f>C70+1</f>
        <v>1</v>
      </c>
      <c r="E70" s="13">
        <f t="shared" ref="E70:N70" si="13">D70+1</f>
        <v>2</v>
      </c>
      <c r="F70" s="13">
        <f t="shared" si="13"/>
        <v>3</v>
      </c>
      <c r="G70" s="13">
        <f t="shared" si="13"/>
        <v>4</v>
      </c>
      <c r="H70" s="13">
        <f t="shared" si="13"/>
        <v>5</v>
      </c>
      <c r="I70" s="13">
        <f t="shared" si="13"/>
        <v>6</v>
      </c>
      <c r="J70" s="13">
        <f t="shared" si="13"/>
        <v>7</v>
      </c>
      <c r="K70" s="13">
        <f t="shared" si="13"/>
        <v>8</v>
      </c>
      <c r="L70" s="13">
        <f t="shared" si="13"/>
        <v>9</v>
      </c>
      <c r="M70" s="13">
        <f t="shared" si="13"/>
        <v>10</v>
      </c>
      <c r="N70" s="13">
        <f t="shared" si="13"/>
        <v>11</v>
      </c>
    </row>
    <row r="71" spans="2:31">
      <c r="B71" s="80" t="s">
        <v>4</v>
      </c>
      <c r="C71" s="81">
        <v>44197</v>
      </c>
      <c r="D71" s="81">
        <v>44228</v>
      </c>
      <c r="E71" s="81">
        <v>44256</v>
      </c>
      <c r="F71" s="81">
        <v>44287</v>
      </c>
      <c r="G71" s="81">
        <v>44317</v>
      </c>
      <c r="H71" s="81">
        <v>44348</v>
      </c>
      <c r="I71" s="81">
        <v>44378</v>
      </c>
      <c r="J71" s="81">
        <v>44409</v>
      </c>
      <c r="K71" s="81">
        <v>44440</v>
      </c>
      <c r="L71" s="81">
        <v>44470</v>
      </c>
      <c r="M71" s="81">
        <v>44501</v>
      </c>
      <c r="N71" s="81">
        <v>44531</v>
      </c>
      <c r="O71" s="26" t="s">
        <v>76</v>
      </c>
      <c r="Q71" s="13" t="s">
        <v>24</v>
      </c>
      <c r="R71" s="30" t="s">
        <v>25</v>
      </c>
      <c r="S71" s="31" t="s">
        <v>55</v>
      </c>
      <c r="T71" s="32" t="s">
        <v>59</v>
      </c>
    </row>
    <row r="72" spans="2:31">
      <c r="B72" s="34" t="s">
        <v>10</v>
      </c>
      <c r="C72" s="44">
        <f>108.52*LN(10)+1185.7+'Keyword Search'!B18/1000</f>
        <v>1454.1925342917139</v>
      </c>
      <c r="D72" s="30">
        <f>3.3741*($O$72+D70)+1439.6</f>
        <v>1457.5666342917139</v>
      </c>
      <c r="E72" s="30">
        <f>3.3741*($O$72+E70)+1439.6</f>
        <v>1460.9407342917139</v>
      </c>
      <c r="F72" s="111">
        <f>3.3741*($O$72+F70)+1439.6</f>
        <v>1464.3148342917139</v>
      </c>
      <c r="G72" s="30">
        <f>3.3741*($O$72+G70)+1439.6</f>
        <v>1467.6889342917138</v>
      </c>
      <c r="H72" s="30">
        <f>3.3741*($O$72+H70)+1439.6</f>
        <v>1471.0630342917138</v>
      </c>
      <c r="I72" s="30">
        <f>3.3741*($O$72+I70)+1439.6</f>
        <v>1474.4371342917138</v>
      </c>
      <c r="J72" s="30">
        <f>3.3741*($O$72+J70)+1439.6</f>
        <v>1477.8112342917138</v>
      </c>
      <c r="K72" s="30">
        <f>3.3741*($O$72+K70)+1439.6</f>
        <v>1481.1853342917138</v>
      </c>
      <c r="L72" s="30">
        <f>3.3741*($O$72+L70)+1439.6</f>
        <v>1484.5594342917138</v>
      </c>
      <c r="M72" s="30">
        <f>3.3741*($O$72+M70)+1439.6</f>
        <v>1487.9335342917138</v>
      </c>
      <c r="N72" s="30">
        <f>3.3741*($O$72+N70)+1439.6</f>
        <v>1491.3076342917138</v>
      </c>
      <c r="O72" s="28">
        <f>(C72-1439.6)/3.3741</f>
        <v>4.3248671621214392</v>
      </c>
      <c r="Q72" s="12">
        <f>AVERAGE(B72:N72)</f>
        <v>1472.7500842917143</v>
      </c>
      <c r="R72" s="30">
        <f>MAX(C72:N72)-MIN(C72:N72)</f>
        <v>37.115099999999984</v>
      </c>
      <c r="S72" s="31">
        <f>R72/Q72</f>
        <v>2.5201220760988546E-2</v>
      </c>
      <c r="T72" s="31">
        <f>S72-S54</f>
        <v>-0.21042727409392317</v>
      </c>
    </row>
    <row r="73" spans="2:31">
      <c r="B73" s="57" t="s">
        <v>13</v>
      </c>
      <c r="C73" s="60">
        <f>270.41*LN(10)+2292.1+'Keyword Search'!B19/1000</f>
        <v>2956.7870349965201</v>
      </c>
      <c r="D73" s="30">
        <f>1.8094*($O$73+D70)+2830.3</f>
        <v>2958.5964349965202</v>
      </c>
      <c r="E73" s="30">
        <f>1.8094*($O$73+E70)+2830.3</f>
        <v>2960.4058349965203</v>
      </c>
      <c r="F73" s="30">
        <f>1.8094*($O$73+F70)+2830.3</f>
        <v>2962.2152349965199</v>
      </c>
      <c r="G73" s="30">
        <f>1.8094*($O$73+G70)+2830.3</f>
        <v>2964.02463499652</v>
      </c>
      <c r="H73" s="30">
        <f>1.8094*($O$73+H70)+2830.3</f>
        <v>2965.8340349965201</v>
      </c>
      <c r="I73" s="30">
        <f>1.8094*($O$73+I70)+2830.3</f>
        <v>2967.6434349965202</v>
      </c>
      <c r="J73" s="30">
        <f>1.8094*($O$73+J70)+2830.3</f>
        <v>2969.4528349965203</v>
      </c>
      <c r="K73" s="30">
        <f>1.8094*($O$73+K70)+2830.3</f>
        <v>2971.26223499652</v>
      </c>
      <c r="L73" s="30">
        <f>1.8094*($O$73+L70)+2830.3</f>
        <v>2973.0716349965201</v>
      </c>
      <c r="M73" s="30">
        <f>1.8094*($O$73+M70)+2830.3</f>
        <v>2974.8810349965202</v>
      </c>
      <c r="N73" s="30">
        <f>1.8094*($O$73+N70)+2830.3</f>
        <v>2976.6904349965203</v>
      </c>
      <c r="O73" s="7">
        <f>(C73-2830.3)/1.8094</f>
        <v>69.90551287527353</v>
      </c>
      <c r="Q73" s="12">
        <f t="shared" ref="Q73" si="14">AVERAGE(B73:N73)</f>
        <v>2966.7387349965197</v>
      </c>
      <c r="R73" s="30">
        <f t="shared" ref="R73" si="15">MAX(C73:N73)-MIN(C73:N73)</f>
        <v>19.903400000000147</v>
      </c>
      <c r="S73" s="31">
        <f>R73/Q73</f>
        <v>6.7088482599474654E-3</v>
      </c>
      <c r="T73" s="31">
        <f>S73-S57</f>
        <v>-0.20951485052189095</v>
      </c>
    </row>
    <row r="74" spans="2:31">
      <c r="B74" s="66" t="s">
        <v>20</v>
      </c>
      <c r="C74" s="70">
        <f>70.916*LN(9)+571.01+'Keyword Search'!B17/1000</f>
        <v>736.27037812637536</v>
      </c>
      <c r="D74" s="30">
        <f>-0.2804*($O$74+D70)+776.44</f>
        <v>735.98997812637538</v>
      </c>
      <c r="E74" s="30">
        <f>-0.2804*($O$74+E70)+776.44</f>
        <v>735.70957812637539</v>
      </c>
      <c r="F74" s="30">
        <f>-0.2804*($O$74+F70)+776.44</f>
        <v>735.4291781263754</v>
      </c>
      <c r="G74" s="30">
        <f>-0.2804*($O$74+G70)+776.44</f>
        <v>735.14877812637542</v>
      </c>
      <c r="H74" s="30">
        <f>-0.2804*($O$74+H70)+776.44</f>
        <v>734.86837812637532</v>
      </c>
      <c r="I74" s="30">
        <f>-0.2804*($O$74+I70)+776.44</f>
        <v>734.58797812637533</v>
      </c>
      <c r="J74" s="30">
        <f>-0.2804*($O$74+J70)+776.44</f>
        <v>734.30757812637535</v>
      </c>
      <c r="K74" s="30">
        <f>-0.2804*($O$74+K70)+776.44</f>
        <v>734.02717812637536</v>
      </c>
      <c r="L74" s="30">
        <f>-0.2804*($O$74+L70)+776.44</f>
        <v>733.74677812637537</v>
      </c>
      <c r="M74" s="30">
        <f>-0.2804*($O$74+M70)+776.44</f>
        <v>733.46637812637539</v>
      </c>
      <c r="N74" s="30">
        <f>-0.2804*($O$74+N70)+776.44</f>
        <v>733.1859781263754</v>
      </c>
      <c r="O74" s="28">
        <f>(C74-776.44)/(-0.2804)</f>
        <v>143.2582805764076</v>
      </c>
      <c r="Q74" s="12">
        <f>AVERAGE(B74:N74)</f>
        <v>734.72817812637538</v>
      </c>
      <c r="R74" s="30">
        <f>MAX(C74:N74)-MIN(C74:N74)</f>
        <v>3.0843999999999596</v>
      </c>
      <c r="S74" s="31">
        <f t="shared" ref="S74" si="16">R74/Q74</f>
        <v>4.1980151188232145E-3</v>
      </c>
      <c r="T74" s="31">
        <f>S74-S64</f>
        <v>-0.27611896981379108</v>
      </c>
    </row>
    <row r="75" spans="2:31">
      <c r="B75" s="17" t="s">
        <v>21</v>
      </c>
      <c r="C75" s="40">
        <f>215.88*LN(10)+586.87+'Keyword Search'!B16/1000</f>
        <v>1120.6250698755546</v>
      </c>
      <c r="D75" s="30">
        <f>2.3066*($O$75+D70)+1200.4</f>
        <v>1122.9316698755547</v>
      </c>
      <c r="E75" s="30">
        <f>2.3066*($O$75+E70)+1200.4</f>
        <v>1125.2382698755546</v>
      </c>
      <c r="F75" s="30">
        <f>2.3066*($O$75+F70)+1200.4</f>
        <v>1127.5448698755545</v>
      </c>
      <c r="G75" s="30">
        <f>2.3066*($O$75+G70)+1200.4</f>
        <v>1129.8514698755546</v>
      </c>
      <c r="H75" s="30">
        <f>2.3066*($O$75+H70)+1200.4</f>
        <v>1132.1580698755545</v>
      </c>
      <c r="I75" s="30">
        <f>2.3066*($O$75+I70)+1200.4</f>
        <v>1134.4646698755546</v>
      </c>
      <c r="J75" s="30">
        <f>2.3066*($O$75+J70)+1200.4</f>
        <v>1136.7712698755545</v>
      </c>
      <c r="K75" s="30">
        <f>2.3066*($O$75+K70)+1200.4</f>
        <v>1139.0778698755546</v>
      </c>
      <c r="L75" s="30">
        <f>2.3066*($O$75+L70)+1200.4</f>
        <v>1141.3844698755545</v>
      </c>
      <c r="M75" s="30">
        <f>2.3066*($O$75+M70)+1200.4</f>
        <v>1143.6910698755546</v>
      </c>
      <c r="N75" s="30">
        <f>2.3066*($O$75+N70)+1200.4</f>
        <v>1145.9976698755545</v>
      </c>
      <c r="O75" s="28">
        <f>(C75-1200.4)/2.3066</f>
        <v>-34.585506860507031</v>
      </c>
      <c r="Q75" s="12">
        <f>AVERAGE(B75:N75)</f>
        <v>1133.3113698755546</v>
      </c>
      <c r="R75" s="30">
        <f>MAX(C75:N75)-MIN(C75:N75)</f>
        <v>25.37259999999992</v>
      </c>
      <c r="S75" s="31">
        <f>R75/Q75</f>
        <v>2.2388022104451316E-2</v>
      </c>
      <c r="T75" s="31">
        <f>S75-S65</f>
        <v>-0.64271003975439356</v>
      </c>
    </row>
    <row r="76" spans="2:31">
      <c r="B76" s="1"/>
    </row>
    <row r="77" spans="2:31">
      <c r="U77" s="19"/>
      <c r="V77" s="19"/>
      <c r="W77" s="20"/>
      <c r="X77" s="20"/>
    </row>
    <row r="78" spans="2:31">
      <c r="B78" s="11"/>
      <c r="C78" s="13" t="s">
        <v>77</v>
      </c>
      <c r="D78" s="109" t="s">
        <v>80</v>
      </c>
      <c r="E78" s="109"/>
      <c r="F78" s="109"/>
      <c r="G78" s="109"/>
      <c r="H78" s="109"/>
      <c r="I78" s="109"/>
      <c r="U78" s="19"/>
      <c r="V78" s="19"/>
      <c r="W78" s="20"/>
      <c r="X78" s="20"/>
    </row>
    <row r="79" spans="2:31">
      <c r="B79" s="34" t="s">
        <v>10</v>
      </c>
      <c r="C79" s="42">
        <v>1461.5166666666664</v>
      </c>
      <c r="D79" s="109" t="s">
        <v>81</v>
      </c>
      <c r="E79" s="109"/>
      <c r="F79" s="109"/>
      <c r="G79" s="109"/>
      <c r="H79" s="109"/>
      <c r="I79" s="109"/>
      <c r="U79" s="19"/>
      <c r="V79" s="20"/>
      <c r="W79" s="20"/>
      <c r="X79" s="20"/>
    </row>
    <row r="80" spans="2:31">
      <c r="B80" s="57" t="s">
        <v>13</v>
      </c>
      <c r="C80" s="58">
        <v>2842.0916666666667</v>
      </c>
      <c r="D80" s="109" t="s">
        <v>78</v>
      </c>
      <c r="E80" s="109"/>
      <c r="F80" s="109"/>
      <c r="G80" s="109"/>
      <c r="H80" s="109"/>
      <c r="I80" s="109"/>
      <c r="U80" s="19"/>
      <c r="V80" s="88"/>
      <c r="W80" s="20"/>
      <c r="X80" s="20"/>
    </row>
    <row r="81" spans="2:24">
      <c r="B81" s="66" t="s">
        <v>20</v>
      </c>
      <c r="C81" s="69">
        <v>774.61666666666667</v>
      </c>
      <c r="D81" s="109" t="s">
        <v>79</v>
      </c>
      <c r="E81" s="109"/>
      <c r="F81" s="109"/>
      <c r="G81" s="109"/>
      <c r="H81" s="109"/>
      <c r="I81" s="109"/>
      <c r="U81" s="19"/>
      <c r="V81" s="89"/>
      <c r="W81" s="20"/>
      <c r="X81" s="20"/>
    </row>
    <row r="82" spans="2:24">
      <c r="B82" s="17" t="s">
        <v>21</v>
      </c>
      <c r="C82" s="35">
        <v>1215.3916666666664</v>
      </c>
      <c r="D82" s="109" t="s">
        <v>82</v>
      </c>
      <c r="E82" s="109"/>
      <c r="F82" s="109"/>
      <c r="G82" s="109"/>
      <c r="H82" s="109"/>
      <c r="I82" s="109"/>
      <c r="J82" s="10">
        <f>2.3066*($O$75+42)+1200.4</f>
        <v>1217.5022698755545</v>
      </c>
      <c r="U82" s="19"/>
      <c r="V82" s="108"/>
      <c r="W82" s="20"/>
      <c r="X82" s="20"/>
    </row>
    <row r="83" spans="2:24">
      <c r="U83" s="19"/>
      <c r="V83" s="90"/>
      <c r="W83" s="20"/>
      <c r="X83" s="20"/>
    </row>
    <row r="84" spans="2:24">
      <c r="U84" s="19"/>
      <c r="V84" s="19"/>
      <c r="W84" s="20"/>
      <c r="X84" s="20"/>
    </row>
    <row r="85" spans="2:24">
      <c r="U85" s="19"/>
      <c r="V85" s="19"/>
      <c r="W85" s="20"/>
      <c r="X85" s="20"/>
    </row>
  </sheetData>
  <mergeCells count="5">
    <mergeCell ref="D78:I78"/>
    <mergeCell ref="D79:I79"/>
    <mergeCell ref="D80:I80"/>
    <mergeCell ref="D81:I81"/>
    <mergeCell ref="D82:I8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60A1-6009-1D47-BB20-A09204B91711}">
  <dimension ref="A1:D19"/>
  <sheetViews>
    <sheetView zoomScale="110" zoomScaleNormal="110" workbookViewId="0">
      <selection activeCell="C25" sqref="C25"/>
    </sheetView>
  </sheetViews>
  <sheetFormatPr baseColWidth="10" defaultRowHeight="16"/>
  <cols>
    <col min="1" max="1" width="32" style="76" customWidth="1"/>
    <col min="2" max="4" width="16.6640625" style="78" customWidth="1"/>
    <col min="5" max="16384" width="10.83203125" style="76"/>
  </cols>
  <sheetData>
    <row r="1" spans="1:4">
      <c r="A1" s="76" t="s">
        <v>74</v>
      </c>
    </row>
    <row r="2" spans="1:4">
      <c r="A2" s="77"/>
      <c r="B2" s="79" t="s">
        <v>61</v>
      </c>
      <c r="C2" s="79" t="s">
        <v>62</v>
      </c>
      <c r="D2" s="79" t="s">
        <v>63</v>
      </c>
    </row>
    <row r="3" spans="1:4">
      <c r="A3" s="77" t="s">
        <v>64</v>
      </c>
      <c r="B3" s="79">
        <v>122</v>
      </c>
      <c r="C3" s="79">
        <v>4374</v>
      </c>
      <c r="D3" s="79">
        <v>2</v>
      </c>
    </row>
    <row r="4" spans="1:4">
      <c r="A4" s="77" t="s">
        <v>65</v>
      </c>
      <c r="B4" s="79">
        <v>32299</v>
      </c>
      <c r="C4" s="79">
        <v>7532</v>
      </c>
      <c r="D4" s="79">
        <v>960</v>
      </c>
    </row>
    <row r="5" spans="1:4">
      <c r="A5" s="77" t="s">
        <v>66</v>
      </c>
      <c r="B5" s="79">
        <v>1081</v>
      </c>
      <c r="C5" s="79">
        <v>14</v>
      </c>
      <c r="D5" s="79">
        <v>50</v>
      </c>
    </row>
    <row r="6" spans="1:4">
      <c r="A6" s="77" t="s">
        <v>67</v>
      </c>
      <c r="B6" s="79">
        <v>2964</v>
      </c>
      <c r="C6" s="79">
        <v>23</v>
      </c>
      <c r="D6" s="79">
        <v>80</v>
      </c>
    </row>
    <row r="7" spans="1:4">
      <c r="A7" s="77" t="s">
        <v>68</v>
      </c>
      <c r="B7" s="79">
        <v>274</v>
      </c>
      <c r="C7" s="79">
        <v>196</v>
      </c>
      <c r="D7" s="79">
        <v>4</v>
      </c>
    </row>
    <row r="8" spans="1:4">
      <c r="A8" s="77" t="s">
        <v>69</v>
      </c>
      <c r="B8" s="79">
        <v>1255</v>
      </c>
      <c r="C8" s="79">
        <v>489</v>
      </c>
      <c r="D8" s="79">
        <v>150</v>
      </c>
    </row>
    <row r="9" spans="1:4">
      <c r="A9" s="77" t="s">
        <v>70</v>
      </c>
      <c r="B9" s="79">
        <v>1009</v>
      </c>
      <c r="C9" s="79">
        <v>2677</v>
      </c>
      <c r="D9" s="79">
        <v>30</v>
      </c>
    </row>
    <row r="10" spans="1:4">
      <c r="A10" s="77" t="s">
        <v>71</v>
      </c>
      <c r="B10" s="79">
        <v>1191</v>
      </c>
      <c r="C10" s="79">
        <v>284</v>
      </c>
      <c r="D10" s="79">
        <v>240</v>
      </c>
    </row>
    <row r="11" spans="1:4">
      <c r="A11" s="77" t="s">
        <v>58</v>
      </c>
      <c r="B11" s="79">
        <v>18616</v>
      </c>
      <c r="C11" s="79">
        <v>2580</v>
      </c>
      <c r="D11" s="79">
        <v>1050</v>
      </c>
    </row>
    <row r="12" spans="1:4">
      <c r="A12" s="77" t="s">
        <v>72</v>
      </c>
      <c r="B12" s="79">
        <v>2020</v>
      </c>
      <c r="C12" s="79">
        <v>2600</v>
      </c>
      <c r="D12" s="79">
        <v>340</v>
      </c>
    </row>
    <row r="13" spans="1:4">
      <c r="A13" s="77" t="s">
        <v>73</v>
      </c>
      <c r="B13" s="79">
        <v>39445</v>
      </c>
      <c r="C13" s="79">
        <v>7451</v>
      </c>
      <c r="D13" s="79">
        <v>1910</v>
      </c>
    </row>
    <row r="16" spans="1:4">
      <c r="A16" s="17" t="s">
        <v>21</v>
      </c>
      <c r="B16" s="79">
        <f>C3+B4</f>
        <v>36673</v>
      </c>
    </row>
    <row r="17" spans="1:2">
      <c r="A17" s="66" t="s">
        <v>20</v>
      </c>
      <c r="B17" s="79">
        <f>B5+B6+B7+B8+C9+B10</f>
        <v>9442</v>
      </c>
    </row>
    <row r="18" spans="1:2">
      <c r="A18" s="34" t="s">
        <v>10</v>
      </c>
      <c r="B18" s="79">
        <f>B11</f>
        <v>18616</v>
      </c>
    </row>
    <row r="19" spans="1:2">
      <c r="A19" s="57" t="s">
        <v>13</v>
      </c>
      <c r="B19" s="79">
        <f>C12+B13</f>
        <v>42045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87A4-88AF-1241-A4FE-422BD0FB078C}">
  <dimension ref="A1:M25"/>
  <sheetViews>
    <sheetView zoomScale="110" zoomScaleNormal="110" workbookViewId="0">
      <selection activeCell="E27" sqref="E27"/>
    </sheetView>
  </sheetViews>
  <sheetFormatPr baseColWidth="10" defaultRowHeight="16"/>
  <cols>
    <col min="1" max="1" width="45.5" style="5" customWidth="1"/>
    <col min="2" max="13" width="10.83203125" style="1"/>
    <col min="14" max="15" width="16.83203125" style="1" customWidth="1"/>
    <col min="16" max="16384" width="10.83203125" style="1"/>
  </cols>
  <sheetData>
    <row r="1" spans="1:13">
      <c r="A1" s="33" t="s">
        <v>0</v>
      </c>
      <c r="B1" s="33" t="s">
        <v>47</v>
      </c>
      <c r="C1" s="33" t="s">
        <v>48</v>
      </c>
      <c r="D1" s="33" t="s">
        <v>49</v>
      </c>
      <c r="E1" s="33" t="s">
        <v>50</v>
      </c>
      <c r="F1" s="33" t="s">
        <v>26</v>
      </c>
      <c r="G1" s="33" t="s">
        <v>27</v>
      </c>
      <c r="H1" s="33" t="s">
        <v>28</v>
      </c>
      <c r="I1" s="33" t="s">
        <v>29</v>
      </c>
      <c r="J1" s="33" t="s">
        <v>1</v>
      </c>
      <c r="K1" s="33" t="s">
        <v>2</v>
      </c>
      <c r="L1" s="33" t="s">
        <v>3</v>
      </c>
      <c r="M1" s="33" t="s">
        <v>46</v>
      </c>
    </row>
    <row r="2" spans="1:13">
      <c r="A2" s="11" t="s">
        <v>30</v>
      </c>
      <c r="B2" s="14">
        <v>36798442</v>
      </c>
      <c r="C2" s="14">
        <v>36898490</v>
      </c>
      <c r="D2" s="14">
        <v>37065178</v>
      </c>
      <c r="E2" s="14">
        <v>37249240</v>
      </c>
      <c r="F2" s="14">
        <v>37324239</v>
      </c>
      <c r="G2" s="14">
        <v>37417155</v>
      </c>
      <c r="H2" s="14">
        <v>37593384</v>
      </c>
      <c r="I2" s="14">
        <v>37802043</v>
      </c>
      <c r="J2" s="14">
        <v>37899277</v>
      </c>
      <c r="K2" s="14">
        <v>37979854</v>
      </c>
      <c r="L2" s="14">
        <v>38005238</v>
      </c>
      <c r="M2" s="14">
        <v>38008005</v>
      </c>
    </row>
    <row r="3" spans="1:13">
      <c r="A3" s="11" t="s">
        <v>31</v>
      </c>
      <c r="B3" s="14">
        <v>527544</v>
      </c>
      <c r="C3" s="14">
        <v>526395</v>
      </c>
      <c r="D3" s="14">
        <v>525560</v>
      </c>
      <c r="E3" s="14">
        <v>525765</v>
      </c>
      <c r="F3" s="14">
        <v>524883</v>
      </c>
      <c r="G3" s="14">
        <v>524126</v>
      </c>
      <c r="H3" s="14">
        <v>523476</v>
      </c>
      <c r="I3" s="14">
        <v>524137</v>
      </c>
      <c r="J3" s="14">
        <v>523631</v>
      </c>
      <c r="K3" s="14">
        <v>522994</v>
      </c>
      <c r="L3" s="14">
        <v>522103</v>
      </c>
      <c r="M3" s="14">
        <v>520998</v>
      </c>
    </row>
    <row r="4" spans="1:13">
      <c r="A4" s="11" t="s">
        <v>32</v>
      </c>
      <c r="B4" s="14">
        <v>151516</v>
      </c>
      <c r="C4" s="14">
        <v>152039</v>
      </c>
      <c r="D4" s="14">
        <v>153396</v>
      </c>
      <c r="E4" s="14">
        <v>155129</v>
      </c>
      <c r="F4" s="14">
        <v>155244</v>
      </c>
      <c r="G4" s="14">
        <v>155833</v>
      </c>
      <c r="H4" s="14">
        <v>157262</v>
      </c>
      <c r="I4" s="14">
        <v>158334</v>
      </c>
      <c r="J4" s="14">
        <v>158629</v>
      </c>
      <c r="K4" s="14">
        <v>159249</v>
      </c>
      <c r="L4" s="14">
        <v>159625</v>
      </c>
      <c r="M4" s="14">
        <v>159713</v>
      </c>
    </row>
    <row r="5" spans="1:13">
      <c r="A5" s="11" t="s">
        <v>33</v>
      </c>
      <c r="B5" s="14">
        <v>953838</v>
      </c>
      <c r="C5" s="14">
        <v>954618</v>
      </c>
      <c r="D5" s="14">
        <v>958406</v>
      </c>
      <c r="E5" s="14">
        <v>963309</v>
      </c>
      <c r="F5" s="14">
        <v>963890</v>
      </c>
      <c r="G5" s="14">
        <v>965287</v>
      </c>
      <c r="H5" s="14">
        <v>969747</v>
      </c>
      <c r="I5" s="14">
        <v>975231</v>
      </c>
      <c r="J5" s="14">
        <v>975898</v>
      </c>
      <c r="K5" s="14">
        <v>977043</v>
      </c>
      <c r="L5" s="14">
        <v>979351</v>
      </c>
      <c r="M5" s="14">
        <v>979115</v>
      </c>
    </row>
    <row r="6" spans="1:13">
      <c r="A6" s="11" t="s">
        <v>34</v>
      </c>
      <c r="B6" s="14">
        <v>768005</v>
      </c>
      <c r="C6" s="14">
        <v>768522</v>
      </c>
      <c r="D6" s="14">
        <v>770301</v>
      </c>
      <c r="E6" s="14">
        <v>772524</v>
      </c>
      <c r="F6" s="14">
        <v>772748</v>
      </c>
      <c r="G6" s="14">
        <v>773805</v>
      </c>
      <c r="H6" s="14">
        <v>776868</v>
      </c>
      <c r="I6" s="14">
        <v>780154</v>
      </c>
      <c r="J6" s="14">
        <v>780040</v>
      </c>
      <c r="K6" s="14">
        <v>781024</v>
      </c>
      <c r="L6" s="14">
        <v>781476</v>
      </c>
      <c r="M6" s="14">
        <v>781315</v>
      </c>
    </row>
    <row r="7" spans="1:13">
      <c r="A7" s="11" t="s">
        <v>35</v>
      </c>
      <c r="B7" s="14">
        <v>8350601</v>
      </c>
      <c r="C7" s="14">
        <v>8367551</v>
      </c>
      <c r="D7" s="14">
        <v>8401738</v>
      </c>
      <c r="E7" s="14">
        <v>8433888</v>
      </c>
      <c r="F7" s="14">
        <v>8446906</v>
      </c>
      <c r="G7" s="14">
        <v>8465271</v>
      </c>
      <c r="H7" s="14">
        <v>8501703</v>
      </c>
      <c r="I7" s="14">
        <v>8540429</v>
      </c>
      <c r="J7" s="14">
        <v>8556650</v>
      </c>
      <c r="K7" s="14">
        <v>8572054</v>
      </c>
      <c r="L7" s="14">
        <v>8574571</v>
      </c>
      <c r="M7" s="14">
        <v>8575779</v>
      </c>
    </row>
    <row r="8" spans="1:13">
      <c r="A8" s="11" t="s">
        <v>36</v>
      </c>
      <c r="B8" s="14">
        <v>14186830</v>
      </c>
      <c r="C8" s="14">
        <v>14235643</v>
      </c>
      <c r="D8" s="14">
        <v>14308697</v>
      </c>
      <c r="E8" s="14">
        <v>14393683</v>
      </c>
      <c r="F8" s="14">
        <v>14428712</v>
      </c>
      <c r="G8" s="14">
        <v>14467162</v>
      </c>
      <c r="H8" s="14">
        <v>14544718</v>
      </c>
      <c r="I8" s="14">
        <v>14637880</v>
      </c>
      <c r="J8" s="14">
        <v>14689075</v>
      </c>
      <c r="K8" s="14">
        <v>14723497</v>
      </c>
      <c r="L8" s="14">
        <v>14734014</v>
      </c>
      <c r="M8" s="14">
        <v>14733119</v>
      </c>
    </row>
    <row r="9" spans="1:13">
      <c r="A9" s="11" t="s">
        <v>37</v>
      </c>
      <c r="B9" s="14">
        <v>1344418</v>
      </c>
      <c r="C9" s="14">
        <v>1347055</v>
      </c>
      <c r="D9" s="14">
        <v>1352825</v>
      </c>
      <c r="E9" s="14">
        <v>1357879</v>
      </c>
      <c r="F9" s="14">
        <v>1361632</v>
      </c>
      <c r="G9" s="14">
        <v>1364223</v>
      </c>
      <c r="H9" s="14">
        <v>1369540</v>
      </c>
      <c r="I9" s="14">
        <v>1373574</v>
      </c>
      <c r="J9" s="14">
        <v>1377004</v>
      </c>
      <c r="K9" s="14">
        <v>1378818</v>
      </c>
      <c r="L9" s="14">
        <v>1379263</v>
      </c>
      <c r="M9" s="14">
        <v>1379584</v>
      </c>
    </row>
    <row r="10" spans="1:13">
      <c r="A10" s="11" t="s">
        <v>38</v>
      </c>
      <c r="B10" s="14">
        <v>1156659</v>
      </c>
      <c r="C10" s="14">
        <v>1158451</v>
      </c>
      <c r="D10" s="14">
        <v>1161767</v>
      </c>
      <c r="E10" s="14">
        <v>1165938</v>
      </c>
      <c r="F10" s="14">
        <v>1168461</v>
      </c>
      <c r="G10" s="14">
        <v>1169286</v>
      </c>
      <c r="H10" s="14">
        <v>1172302</v>
      </c>
      <c r="I10" s="14">
        <v>1176272</v>
      </c>
      <c r="J10" s="14">
        <v>1179154</v>
      </c>
      <c r="K10" s="14">
        <v>1179618</v>
      </c>
      <c r="L10" s="14">
        <v>1178681</v>
      </c>
      <c r="M10" s="14">
        <v>1177884</v>
      </c>
    </row>
    <row r="11" spans="1:13">
      <c r="A11" s="11" t="s">
        <v>39</v>
      </c>
      <c r="B11" s="14">
        <v>4268853</v>
      </c>
      <c r="C11" s="14">
        <v>4281706</v>
      </c>
      <c r="D11" s="14">
        <v>4298275</v>
      </c>
      <c r="E11" s="14">
        <v>4317453</v>
      </c>
      <c r="F11" s="14">
        <v>4330698</v>
      </c>
      <c r="G11" s="14">
        <v>4343951</v>
      </c>
      <c r="H11" s="14">
        <v>4361694</v>
      </c>
      <c r="I11" s="14">
        <v>4384968</v>
      </c>
      <c r="J11" s="14">
        <v>4402045</v>
      </c>
      <c r="K11" s="14">
        <v>4417006</v>
      </c>
      <c r="L11" s="14">
        <v>4421876</v>
      </c>
      <c r="M11" s="14">
        <v>4428112</v>
      </c>
    </row>
    <row r="12" spans="1:13">
      <c r="A12" s="11" t="s">
        <v>40</v>
      </c>
      <c r="B12" s="14">
        <v>4967421</v>
      </c>
      <c r="C12" s="14">
        <v>4983183</v>
      </c>
      <c r="D12" s="14">
        <v>5010476</v>
      </c>
      <c r="E12" s="14">
        <v>5039661</v>
      </c>
      <c r="F12" s="14">
        <v>5046576</v>
      </c>
      <c r="G12" s="14">
        <v>5063527</v>
      </c>
      <c r="H12" s="14">
        <v>5090955</v>
      </c>
      <c r="I12" s="14">
        <v>5125659</v>
      </c>
      <c r="J12" s="14">
        <v>5131575</v>
      </c>
      <c r="K12" s="14">
        <v>5142404</v>
      </c>
      <c r="L12" s="14">
        <v>5147712</v>
      </c>
      <c r="M12" s="14">
        <v>5145851</v>
      </c>
    </row>
    <row r="13" spans="1:13">
      <c r="A13" s="17" t="s">
        <v>41</v>
      </c>
      <c r="B13" s="14">
        <v>40006</v>
      </c>
      <c r="C13" s="14">
        <v>40200</v>
      </c>
      <c r="D13" s="14">
        <v>40613</v>
      </c>
      <c r="E13" s="14">
        <v>40761</v>
      </c>
      <c r="F13" s="15">
        <v>40947</v>
      </c>
      <c r="G13" s="15">
        <v>41040</v>
      </c>
      <c r="H13" s="15">
        <v>41477</v>
      </c>
      <c r="I13" s="15">
        <v>41668</v>
      </c>
      <c r="J13" s="15">
        <v>41731</v>
      </c>
      <c r="K13" s="15">
        <v>41980</v>
      </c>
      <c r="L13" s="15">
        <v>42052</v>
      </c>
      <c r="M13" s="15">
        <v>42176</v>
      </c>
    </row>
    <row r="14" spans="1:13">
      <c r="A14" s="17" t="s">
        <v>42</v>
      </c>
      <c r="B14" s="14">
        <v>45066</v>
      </c>
      <c r="C14" s="14">
        <v>45320</v>
      </c>
      <c r="D14" s="14">
        <v>44981</v>
      </c>
      <c r="E14" s="14">
        <v>44964</v>
      </c>
      <c r="F14" s="15">
        <v>45194</v>
      </c>
      <c r="G14" s="15">
        <v>45118</v>
      </c>
      <c r="H14" s="15">
        <v>45028</v>
      </c>
      <c r="I14" s="15">
        <v>45100</v>
      </c>
      <c r="J14" s="15">
        <v>45119</v>
      </c>
      <c r="K14" s="15">
        <v>45201</v>
      </c>
      <c r="L14" s="15">
        <v>45161</v>
      </c>
      <c r="M14" s="15">
        <v>45074</v>
      </c>
    </row>
    <row r="15" spans="1:13">
      <c r="A15" s="17" t="s">
        <v>43</v>
      </c>
      <c r="B15" s="14">
        <v>37685</v>
      </c>
      <c r="C15" s="14">
        <v>37807</v>
      </c>
      <c r="D15" s="14">
        <v>38143</v>
      </c>
      <c r="E15" s="14">
        <v>38286</v>
      </c>
      <c r="F15" s="15">
        <v>38348</v>
      </c>
      <c r="G15" s="15">
        <v>38526</v>
      </c>
      <c r="H15" s="15">
        <v>38614</v>
      </c>
      <c r="I15" s="15">
        <v>38637</v>
      </c>
      <c r="J15" s="15">
        <v>38726</v>
      </c>
      <c r="K15" s="15">
        <v>38966</v>
      </c>
      <c r="L15" s="15">
        <v>39353</v>
      </c>
      <c r="M15" s="15">
        <v>39285</v>
      </c>
    </row>
    <row r="16" spans="1:1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>
      <c r="A17" s="18" t="s">
        <v>45</v>
      </c>
      <c r="B17" s="16">
        <f t="shared" ref="B17:D17" si="0">B2-B13-B14-B15</f>
        <v>36675685</v>
      </c>
      <c r="C17" s="24">
        <f t="shared" si="0"/>
        <v>36775163</v>
      </c>
      <c r="D17" s="16">
        <f t="shared" si="0"/>
        <v>36941441</v>
      </c>
      <c r="E17" s="16">
        <f t="shared" ref="E17:M17" si="1">E2-E13-E14-E15</f>
        <v>37125229</v>
      </c>
      <c r="F17" s="16">
        <f t="shared" si="1"/>
        <v>37199750</v>
      </c>
      <c r="G17" s="16">
        <f t="shared" si="1"/>
        <v>37292471</v>
      </c>
      <c r="H17" s="16">
        <f t="shared" si="1"/>
        <v>37468265</v>
      </c>
      <c r="I17" s="16">
        <f t="shared" si="1"/>
        <v>37676638</v>
      </c>
      <c r="J17" s="16">
        <f t="shared" si="1"/>
        <v>37773701</v>
      </c>
      <c r="K17" s="16">
        <f t="shared" si="1"/>
        <v>37853707</v>
      </c>
      <c r="L17" s="16">
        <f t="shared" si="1"/>
        <v>37878672</v>
      </c>
      <c r="M17" s="16">
        <f t="shared" si="1"/>
        <v>37881470</v>
      </c>
    </row>
    <row r="18" spans="1:13">
      <c r="A18" s="18" t="s">
        <v>44</v>
      </c>
      <c r="B18" s="16">
        <f>AVERAGE(B17:E17)</f>
        <v>36879379.5</v>
      </c>
      <c r="C18" s="22"/>
      <c r="D18" s="22"/>
      <c r="E18" s="22"/>
      <c r="F18" s="25"/>
      <c r="G18" s="25"/>
      <c r="H18" s="25"/>
      <c r="I18" s="25"/>
      <c r="J18" s="25"/>
      <c r="K18" s="25"/>
      <c r="L18" s="25"/>
      <c r="M18" s="25"/>
    </row>
    <row r="19" spans="1:13">
      <c r="A19" s="18" t="s">
        <v>51</v>
      </c>
      <c r="B19" s="16">
        <f>AVERAGE(F17:I17)</f>
        <v>37409281</v>
      </c>
      <c r="C19" s="22"/>
      <c r="D19" s="22"/>
      <c r="E19" s="22"/>
      <c r="F19" s="20"/>
      <c r="G19" s="23"/>
      <c r="H19" s="23"/>
      <c r="I19" s="23"/>
      <c r="J19" s="25"/>
      <c r="K19" s="25"/>
      <c r="L19" s="25"/>
      <c r="M19" s="25"/>
    </row>
    <row r="20" spans="1:13">
      <c r="A20" s="18" t="s">
        <v>52</v>
      </c>
      <c r="B20" s="16">
        <f>AVERAGE(J17:M17)</f>
        <v>37846887.5</v>
      </c>
      <c r="C20" s="22"/>
      <c r="D20" s="22"/>
      <c r="E20" s="22"/>
      <c r="F20" s="25"/>
      <c r="G20" s="25"/>
      <c r="H20" s="25"/>
      <c r="I20" s="25"/>
      <c r="J20" s="20"/>
      <c r="K20" s="22"/>
      <c r="L20" s="22"/>
      <c r="M20" s="22"/>
    </row>
    <row r="25" spans="1:13">
      <c r="B25" s="9"/>
      <c r="C25" s="9"/>
      <c r="D25" s="9"/>
      <c r="E25" s="9"/>
      <c r="F25" s="9"/>
      <c r="G25" s="9"/>
    </row>
  </sheetData>
  <mergeCells count="4">
    <mergeCell ref="F18:I18"/>
    <mergeCell ref="F20:I20"/>
    <mergeCell ref="J18:M18"/>
    <mergeCell ref="J19:M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Employment 18-20</vt:lpstr>
      <vt:lpstr>Keyword Search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2020-11-23T01:13:05Z</dcterms:created>
  <dcterms:modified xsi:type="dcterms:W3CDTF">2020-12-23T12:06:47Z</dcterms:modified>
</cp:coreProperties>
</file>