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K:\hispaniola_land_cover_mapping\results\"/>
    </mc:Choice>
  </mc:AlternateContent>
  <xr:revisionPtr revIDLastSave="0" documentId="13_ncr:1_{5783D075-10A1-4354-8720-DF5D19C53810}" xr6:coauthVersionLast="47" xr6:coauthVersionMax="47" xr10:uidLastSave="{00000000-0000-0000-0000-000000000000}"/>
  <bookViews>
    <workbookView xWindow="-110" yWindow="-110" windowWidth="25820" windowHeight="15500" tabRatio="741" activeTab="1" xr2:uid="{00000000-000D-0000-FFFF-FFFF00000000}"/>
  </bookViews>
  <sheets>
    <sheet name="landcover_validation_record" sheetId="1" r:id="rId1"/>
    <sheet name="pf_loss_validation_record" sheetId="8" r:id="rId2"/>
  </sheets>
  <definedNames>
    <definedName name="_xlnm._FilterDatabase" localSheetId="0" hidden="1">landcover_validation_record!$A$1:$N$401</definedName>
    <definedName name="_xlnm._FilterDatabase" localSheetId="1" hidden="1">pf_loss_validation_record!$A$1:$N$1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87" i="8" l="1"/>
  <c r="I487" i="8"/>
  <c r="H487" i="8"/>
  <c r="J486" i="8"/>
  <c r="I486" i="8"/>
  <c r="H486" i="8"/>
  <c r="J485" i="8"/>
  <c r="I485" i="8"/>
  <c r="H485" i="8"/>
  <c r="J484" i="8"/>
  <c r="I484" i="8"/>
  <c r="H484" i="8"/>
  <c r="J483" i="8"/>
  <c r="I483" i="8"/>
  <c r="H483" i="8"/>
  <c r="J482" i="8"/>
  <c r="I482" i="8"/>
  <c r="H482" i="8"/>
  <c r="J481" i="8"/>
  <c r="I481" i="8"/>
  <c r="H481" i="8"/>
  <c r="J480" i="8"/>
  <c r="I480" i="8"/>
  <c r="H480" i="8"/>
  <c r="J479" i="8"/>
  <c r="I479" i="8"/>
  <c r="H479" i="8"/>
  <c r="J478" i="8"/>
  <c r="I478" i="8"/>
  <c r="H478" i="8"/>
  <c r="J477" i="8"/>
  <c r="I477" i="8"/>
  <c r="H477" i="8"/>
  <c r="J476" i="8"/>
  <c r="I476" i="8"/>
  <c r="H476" i="8"/>
  <c r="J475" i="8"/>
  <c r="I475" i="8"/>
  <c r="H475" i="8"/>
  <c r="J474" i="8"/>
  <c r="I474" i="8"/>
  <c r="H474" i="8"/>
  <c r="J473" i="8"/>
  <c r="I473" i="8"/>
  <c r="H473" i="8"/>
  <c r="J472" i="8"/>
  <c r="I472" i="8"/>
  <c r="H472" i="8"/>
  <c r="J471" i="8"/>
  <c r="I471" i="8"/>
  <c r="H471" i="8"/>
  <c r="J470" i="8"/>
  <c r="I470" i="8"/>
  <c r="H470" i="8"/>
  <c r="J469" i="8"/>
  <c r="I469" i="8"/>
  <c r="H469" i="8"/>
  <c r="J468" i="8"/>
  <c r="I468" i="8"/>
  <c r="H468" i="8"/>
  <c r="J467" i="8"/>
  <c r="I467" i="8"/>
  <c r="H467" i="8"/>
  <c r="J466" i="8"/>
  <c r="I466" i="8"/>
  <c r="H466" i="8"/>
  <c r="J465" i="8"/>
  <c r="I465" i="8"/>
  <c r="H465" i="8"/>
  <c r="J464" i="8"/>
  <c r="I464" i="8"/>
  <c r="H464" i="8"/>
  <c r="J463" i="8"/>
  <c r="I463" i="8"/>
  <c r="H463" i="8"/>
  <c r="J462" i="8"/>
  <c r="I462" i="8"/>
  <c r="H462" i="8"/>
  <c r="J461" i="8"/>
  <c r="I461" i="8"/>
  <c r="H461" i="8"/>
  <c r="J460" i="8"/>
  <c r="I460" i="8"/>
  <c r="H460" i="8"/>
  <c r="J459" i="8"/>
  <c r="I459" i="8"/>
  <c r="H459" i="8"/>
  <c r="J458" i="8"/>
  <c r="I458" i="8"/>
  <c r="H458" i="8"/>
  <c r="J457" i="8"/>
  <c r="I457" i="8"/>
  <c r="H457" i="8"/>
  <c r="J456" i="8"/>
  <c r="I456" i="8"/>
  <c r="H456" i="8"/>
  <c r="J455" i="8"/>
  <c r="I455" i="8"/>
  <c r="H455" i="8"/>
  <c r="J454" i="8"/>
  <c r="I454" i="8"/>
  <c r="H454" i="8"/>
  <c r="J453" i="8"/>
  <c r="I453" i="8"/>
  <c r="H453" i="8"/>
  <c r="J452" i="8"/>
  <c r="I452" i="8"/>
  <c r="H452" i="8"/>
  <c r="J451" i="8"/>
  <c r="I451" i="8"/>
  <c r="H451" i="8"/>
  <c r="J450" i="8"/>
  <c r="I450" i="8"/>
  <c r="H450" i="8"/>
  <c r="J449" i="8"/>
  <c r="I449" i="8"/>
  <c r="H449" i="8"/>
  <c r="J448" i="8"/>
  <c r="I448" i="8"/>
  <c r="H448" i="8"/>
  <c r="J447" i="8"/>
  <c r="I447" i="8"/>
  <c r="H447" i="8"/>
  <c r="J446" i="8"/>
  <c r="I446" i="8"/>
  <c r="H446" i="8"/>
  <c r="J445" i="8"/>
  <c r="I445" i="8"/>
  <c r="H445" i="8"/>
  <c r="J444" i="8"/>
  <c r="I444" i="8"/>
  <c r="H444" i="8"/>
  <c r="J443" i="8"/>
  <c r="I443" i="8"/>
  <c r="H443" i="8"/>
  <c r="J442" i="8"/>
  <c r="I442" i="8"/>
  <c r="H442" i="8"/>
  <c r="J441" i="8"/>
  <c r="I441" i="8"/>
  <c r="H441" i="8"/>
  <c r="J440" i="8"/>
  <c r="I440" i="8"/>
  <c r="H440" i="8"/>
  <c r="J439" i="8"/>
  <c r="I439" i="8"/>
  <c r="H439" i="8"/>
  <c r="J438" i="8"/>
  <c r="I438" i="8"/>
  <c r="H438" i="8"/>
  <c r="J437" i="8"/>
  <c r="I437" i="8"/>
  <c r="H437" i="8"/>
  <c r="J436" i="8"/>
  <c r="I436" i="8"/>
  <c r="H436" i="8"/>
  <c r="J435" i="8"/>
  <c r="I435" i="8"/>
  <c r="H435" i="8"/>
  <c r="J434" i="8"/>
  <c r="I434" i="8"/>
  <c r="H434" i="8"/>
  <c r="J433" i="8"/>
  <c r="I433" i="8"/>
  <c r="H433" i="8"/>
  <c r="J432" i="8"/>
  <c r="I432" i="8"/>
  <c r="H432" i="8"/>
  <c r="J431" i="8"/>
  <c r="I431" i="8"/>
  <c r="H431" i="8"/>
  <c r="J430" i="8"/>
  <c r="I430" i="8"/>
  <c r="H430" i="8"/>
  <c r="J429" i="8"/>
  <c r="I429" i="8"/>
  <c r="H429" i="8"/>
  <c r="J428" i="8"/>
  <c r="I428" i="8"/>
  <c r="H428" i="8"/>
  <c r="J427" i="8"/>
  <c r="I427" i="8"/>
  <c r="H427" i="8"/>
  <c r="J426" i="8"/>
  <c r="I426" i="8"/>
  <c r="H426" i="8"/>
  <c r="J425" i="8"/>
  <c r="I425" i="8"/>
  <c r="H425" i="8"/>
  <c r="J424" i="8"/>
  <c r="I424" i="8"/>
  <c r="H424" i="8"/>
  <c r="J423" i="8"/>
  <c r="I423" i="8"/>
  <c r="H423" i="8"/>
  <c r="J422" i="8"/>
  <c r="I422" i="8"/>
  <c r="H422" i="8"/>
  <c r="J421" i="8"/>
  <c r="I421" i="8"/>
  <c r="H421" i="8"/>
  <c r="J420" i="8"/>
  <c r="I420" i="8"/>
  <c r="H420" i="8"/>
  <c r="J419" i="8"/>
  <c r="I419" i="8"/>
  <c r="H419" i="8"/>
  <c r="J418" i="8"/>
  <c r="I418" i="8"/>
  <c r="H418" i="8"/>
  <c r="J417" i="8"/>
  <c r="I417" i="8"/>
  <c r="H417" i="8"/>
  <c r="J416" i="8"/>
  <c r="I416" i="8"/>
  <c r="H416" i="8"/>
  <c r="J415" i="8"/>
  <c r="I415" i="8"/>
  <c r="H415" i="8"/>
  <c r="J414" i="8"/>
  <c r="I414" i="8"/>
  <c r="H414" i="8"/>
  <c r="J413" i="8"/>
  <c r="I413" i="8"/>
  <c r="H413" i="8"/>
  <c r="J412" i="8"/>
  <c r="I412" i="8"/>
  <c r="H412" i="8"/>
  <c r="J411" i="8"/>
  <c r="I411" i="8"/>
  <c r="H411" i="8"/>
  <c r="J410" i="8"/>
  <c r="I410" i="8"/>
  <c r="H410" i="8"/>
  <c r="J409" i="8"/>
  <c r="I409" i="8"/>
  <c r="H409" i="8"/>
  <c r="J408" i="8"/>
  <c r="I408" i="8"/>
  <c r="H408" i="8"/>
  <c r="J407" i="8"/>
  <c r="I407" i="8"/>
  <c r="H407" i="8"/>
  <c r="J406" i="8"/>
  <c r="I406" i="8"/>
  <c r="H406" i="8"/>
  <c r="J405" i="8"/>
  <c r="I405" i="8"/>
  <c r="H405" i="8"/>
  <c r="J404" i="8"/>
  <c r="I404" i="8"/>
  <c r="H404" i="8"/>
  <c r="J403" i="8"/>
  <c r="I403" i="8"/>
  <c r="H403" i="8"/>
  <c r="J402" i="8"/>
  <c r="I402" i="8"/>
  <c r="H402" i="8"/>
  <c r="J401" i="8"/>
  <c r="I401" i="8"/>
  <c r="H401" i="8"/>
  <c r="J400" i="8"/>
  <c r="I400" i="8"/>
  <c r="H400" i="8"/>
  <c r="J399" i="8"/>
  <c r="I399" i="8"/>
  <c r="H399" i="8"/>
  <c r="J398" i="8"/>
  <c r="I398" i="8"/>
  <c r="H398" i="8"/>
  <c r="J397" i="8"/>
  <c r="I397" i="8"/>
  <c r="H397" i="8"/>
  <c r="J396" i="8"/>
  <c r="I396" i="8"/>
  <c r="H396" i="8"/>
  <c r="J395" i="8"/>
  <c r="I395" i="8"/>
  <c r="H395" i="8"/>
  <c r="J394" i="8"/>
  <c r="I394" i="8"/>
  <c r="H394" i="8"/>
  <c r="J393" i="8"/>
  <c r="I393" i="8"/>
  <c r="H393" i="8"/>
  <c r="J392" i="8"/>
  <c r="I392" i="8"/>
  <c r="H392" i="8"/>
  <c r="J391" i="8"/>
  <c r="I391" i="8"/>
  <c r="H391" i="8"/>
  <c r="J390" i="8"/>
  <c r="I390" i="8"/>
  <c r="H390" i="8"/>
  <c r="J389" i="8"/>
  <c r="I389" i="8"/>
  <c r="H389" i="8"/>
  <c r="J388" i="8"/>
  <c r="I388" i="8"/>
  <c r="H388" i="8"/>
  <c r="J387" i="8"/>
  <c r="I387" i="8"/>
  <c r="H387" i="8"/>
  <c r="J386" i="8"/>
  <c r="I386" i="8"/>
  <c r="H386" i="8"/>
  <c r="J385" i="8"/>
  <c r="I385" i="8"/>
  <c r="H385" i="8"/>
  <c r="J384" i="8"/>
  <c r="I384" i="8"/>
  <c r="H384" i="8"/>
  <c r="J383" i="8"/>
  <c r="I383" i="8"/>
  <c r="H383" i="8"/>
  <c r="J382" i="8"/>
  <c r="I382" i="8"/>
  <c r="H382" i="8"/>
  <c r="J381" i="8"/>
  <c r="I381" i="8"/>
  <c r="H381" i="8"/>
  <c r="J380" i="8"/>
  <c r="I380" i="8"/>
  <c r="H380" i="8"/>
  <c r="J379" i="8"/>
  <c r="I379" i="8"/>
  <c r="H379" i="8"/>
  <c r="J378" i="8"/>
  <c r="I378" i="8"/>
  <c r="H378" i="8"/>
  <c r="J377" i="8"/>
  <c r="I377" i="8"/>
  <c r="H377" i="8"/>
  <c r="J376" i="8"/>
  <c r="I376" i="8"/>
  <c r="H376" i="8"/>
  <c r="J375" i="8"/>
  <c r="I375" i="8"/>
  <c r="H375" i="8"/>
  <c r="J374" i="8"/>
  <c r="I374" i="8"/>
  <c r="H374" i="8"/>
  <c r="J373" i="8"/>
  <c r="I373" i="8"/>
  <c r="H373" i="8"/>
  <c r="J372" i="8"/>
  <c r="I372" i="8"/>
  <c r="H372" i="8"/>
  <c r="J371" i="8"/>
  <c r="I371" i="8"/>
  <c r="H371" i="8"/>
  <c r="J370" i="8"/>
  <c r="I370" i="8"/>
  <c r="H370" i="8"/>
  <c r="J369" i="8"/>
  <c r="I369" i="8"/>
  <c r="H369" i="8"/>
  <c r="J368" i="8"/>
  <c r="I368" i="8"/>
  <c r="H368" i="8"/>
  <c r="J367" i="8"/>
  <c r="I367" i="8"/>
  <c r="H367" i="8"/>
  <c r="J366" i="8"/>
  <c r="I366" i="8"/>
  <c r="H366" i="8"/>
  <c r="J365" i="8"/>
  <c r="I365" i="8"/>
  <c r="H365" i="8"/>
  <c r="J364" i="8"/>
  <c r="I364" i="8"/>
  <c r="H364" i="8"/>
  <c r="J363" i="8"/>
  <c r="I363" i="8"/>
  <c r="H363" i="8"/>
  <c r="J362" i="8"/>
  <c r="I362" i="8"/>
  <c r="H362" i="8"/>
  <c r="J361" i="8"/>
  <c r="I361" i="8"/>
  <c r="H361" i="8"/>
  <c r="J360" i="8"/>
  <c r="I360" i="8"/>
  <c r="H360" i="8"/>
  <c r="J359" i="8"/>
  <c r="I359" i="8"/>
  <c r="H359" i="8"/>
  <c r="J358" i="8"/>
  <c r="I358" i="8"/>
  <c r="H358" i="8"/>
  <c r="J357" i="8"/>
  <c r="I357" i="8"/>
  <c r="H357" i="8"/>
  <c r="J356" i="8"/>
  <c r="I356" i="8"/>
  <c r="H356" i="8"/>
  <c r="J355" i="8"/>
  <c r="I355" i="8"/>
  <c r="H355" i="8"/>
  <c r="J354" i="8"/>
  <c r="I354" i="8"/>
  <c r="H354" i="8"/>
  <c r="J353" i="8"/>
  <c r="I353" i="8"/>
  <c r="H353" i="8"/>
  <c r="J352" i="8"/>
  <c r="I352" i="8"/>
  <c r="H352" i="8"/>
  <c r="J351" i="8"/>
  <c r="I351" i="8"/>
  <c r="H351" i="8"/>
  <c r="J350" i="8"/>
  <c r="I350" i="8"/>
  <c r="H350" i="8"/>
  <c r="J349" i="8"/>
  <c r="I349" i="8"/>
  <c r="H349" i="8"/>
  <c r="J348" i="8"/>
  <c r="I348" i="8"/>
  <c r="H348" i="8"/>
  <c r="J347" i="8"/>
  <c r="I347" i="8"/>
  <c r="H347" i="8"/>
  <c r="J346" i="8"/>
  <c r="I346" i="8"/>
  <c r="H346" i="8"/>
  <c r="J345" i="8"/>
  <c r="I345" i="8"/>
  <c r="H345" i="8"/>
  <c r="J344" i="8"/>
  <c r="I344" i="8"/>
  <c r="H344" i="8"/>
  <c r="J343" i="8"/>
  <c r="I343" i="8"/>
  <c r="H343" i="8"/>
  <c r="J342" i="8"/>
  <c r="I342" i="8"/>
  <c r="H342" i="8"/>
  <c r="J341" i="8"/>
  <c r="I341" i="8"/>
  <c r="H341" i="8"/>
  <c r="J340" i="8"/>
  <c r="I340" i="8"/>
  <c r="H340" i="8"/>
  <c r="J339" i="8"/>
  <c r="I339" i="8"/>
  <c r="H339" i="8"/>
  <c r="J338" i="8"/>
  <c r="I338" i="8"/>
  <c r="H338" i="8"/>
  <c r="J337" i="8"/>
  <c r="I337" i="8"/>
  <c r="H337" i="8"/>
  <c r="J336" i="8"/>
  <c r="I336" i="8"/>
  <c r="H336" i="8"/>
  <c r="J335" i="8"/>
  <c r="I335" i="8"/>
  <c r="H335" i="8"/>
  <c r="J334" i="8"/>
  <c r="I334" i="8"/>
  <c r="H334" i="8"/>
  <c r="J333" i="8"/>
  <c r="I333" i="8"/>
  <c r="H333" i="8"/>
  <c r="J332" i="8"/>
  <c r="I332" i="8"/>
  <c r="H332" i="8"/>
  <c r="J331" i="8"/>
  <c r="I331" i="8"/>
  <c r="H331" i="8"/>
  <c r="J330" i="8"/>
  <c r="I330" i="8"/>
  <c r="H330" i="8"/>
  <c r="J329" i="8"/>
  <c r="I329" i="8"/>
  <c r="H329" i="8"/>
  <c r="J328" i="8"/>
  <c r="I328" i="8"/>
  <c r="H328" i="8"/>
  <c r="J327" i="8"/>
  <c r="I327" i="8"/>
  <c r="H327" i="8"/>
  <c r="J326" i="8"/>
  <c r="I326" i="8"/>
  <c r="H326" i="8"/>
  <c r="J325" i="8"/>
  <c r="I325" i="8"/>
  <c r="H325" i="8"/>
  <c r="J324" i="8"/>
  <c r="I324" i="8"/>
  <c r="H324" i="8"/>
  <c r="J323" i="8"/>
  <c r="I323" i="8"/>
  <c r="H323" i="8"/>
  <c r="J322" i="8"/>
  <c r="I322" i="8"/>
  <c r="H322" i="8"/>
  <c r="J321" i="8"/>
  <c r="I321" i="8"/>
  <c r="H321" i="8"/>
  <c r="J320" i="8"/>
  <c r="I320" i="8"/>
  <c r="H320" i="8"/>
  <c r="J319" i="8"/>
  <c r="I319" i="8"/>
  <c r="H319" i="8"/>
  <c r="J318" i="8"/>
  <c r="I318" i="8"/>
  <c r="H318" i="8"/>
  <c r="J317" i="8"/>
  <c r="I317" i="8"/>
  <c r="H317" i="8"/>
  <c r="J316" i="8"/>
  <c r="I316" i="8"/>
  <c r="H316" i="8"/>
  <c r="J315" i="8"/>
  <c r="I315" i="8"/>
  <c r="H315" i="8"/>
  <c r="J314" i="8"/>
  <c r="I314" i="8"/>
  <c r="H314" i="8"/>
  <c r="J313" i="8"/>
  <c r="I313" i="8"/>
  <c r="H313" i="8"/>
  <c r="J312" i="8"/>
  <c r="I312" i="8"/>
  <c r="H312" i="8"/>
  <c r="J311" i="8"/>
  <c r="I311" i="8"/>
  <c r="H311" i="8"/>
  <c r="J310" i="8"/>
  <c r="I310" i="8"/>
  <c r="H310" i="8"/>
  <c r="J309" i="8"/>
  <c r="I309" i="8"/>
  <c r="H309" i="8"/>
  <c r="J308" i="8"/>
  <c r="I308" i="8"/>
  <c r="H308" i="8"/>
  <c r="J307" i="8"/>
  <c r="I307" i="8"/>
  <c r="H307" i="8"/>
  <c r="J306" i="8"/>
  <c r="I306" i="8"/>
  <c r="H306" i="8"/>
  <c r="J305" i="8"/>
  <c r="I305" i="8"/>
  <c r="H305" i="8"/>
  <c r="J304" i="8"/>
  <c r="I304" i="8"/>
  <c r="H304" i="8"/>
  <c r="J303" i="8"/>
  <c r="I303" i="8"/>
  <c r="H303" i="8"/>
  <c r="J302" i="8"/>
  <c r="I302" i="8"/>
  <c r="H302" i="8"/>
  <c r="J301" i="8"/>
  <c r="I301" i="8"/>
  <c r="H301" i="8"/>
  <c r="J300" i="8"/>
  <c r="I300" i="8"/>
  <c r="H300" i="8"/>
  <c r="J299" i="8"/>
  <c r="I299" i="8"/>
  <c r="H299" i="8"/>
  <c r="J298" i="8"/>
  <c r="I298" i="8"/>
  <c r="H298" i="8"/>
  <c r="J297" i="8"/>
  <c r="I297" i="8"/>
  <c r="H297" i="8"/>
  <c r="J296" i="8"/>
  <c r="I296" i="8"/>
  <c r="H296" i="8"/>
  <c r="J295" i="8"/>
  <c r="I295" i="8"/>
  <c r="H295" i="8"/>
  <c r="J294" i="8"/>
  <c r="I294" i="8"/>
  <c r="H294" i="8"/>
  <c r="J293" i="8"/>
  <c r="I293" i="8"/>
  <c r="H293" i="8"/>
  <c r="J292" i="8"/>
  <c r="I292" i="8"/>
  <c r="H292" i="8"/>
  <c r="J291" i="8"/>
  <c r="I291" i="8"/>
  <c r="H291" i="8"/>
  <c r="J290" i="8"/>
  <c r="I290" i="8"/>
  <c r="H290" i="8"/>
  <c r="J289" i="8"/>
  <c r="I289" i="8"/>
  <c r="H289" i="8"/>
  <c r="J288" i="8"/>
  <c r="I288" i="8"/>
  <c r="H288" i="8"/>
  <c r="J287" i="8"/>
  <c r="I287" i="8"/>
  <c r="H287" i="8"/>
  <c r="J286" i="8"/>
  <c r="I286" i="8"/>
  <c r="H286" i="8"/>
  <c r="J285" i="8"/>
  <c r="I285" i="8"/>
  <c r="H285" i="8"/>
  <c r="J284" i="8"/>
  <c r="I284" i="8"/>
  <c r="H284" i="8"/>
  <c r="J283" i="8"/>
  <c r="I283" i="8"/>
  <c r="H283" i="8"/>
  <c r="J282" i="8"/>
  <c r="I282" i="8"/>
  <c r="H282" i="8"/>
  <c r="J281" i="8"/>
  <c r="I281" i="8"/>
  <c r="H281" i="8"/>
  <c r="J280" i="8"/>
  <c r="I280" i="8"/>
  <c r="H280" i="8"/>
  <c r="J279" i="8"/>
  <c r="I279" i="8"/>
  <c r="H279" i="8"/>
  <c r="J278" i="8"/>
  <c r="I278" i="8"/>
  <c r="H278" i="8"/>
  <c r="J277" i="8"/>
  <c r="I277" i="8"/>
  <c r="H277" i="8"/>
  <c r="J276" i="8"/>
  <c r="I276" i="8"/>
  <c r="H276" i="8"/>
  <c r="J275" i="8"/>
  <c r="I275" i="8"/>
  <c r="H275" i="8"/>
  <c r="J274" i="8"/>
  <c r="I274" i="8"/>
  <c r="H274" i="8"/>
  <c r="J273" i="8"/>
  <c r="I273" i="8"/>
  <c r="H273" i="8"/>
  <c r="J272" i="8"/>
  <c r="I272" i="8"/>
  <c r="H272" i="8"/>
  <c r="J271" i="8"/>
  <c r="I271" i="8"/>
  <c r="H271" i="8"/>
  <c r="J270" i="8"/>
  <c r="I270" i="8"/>
  <c r="H270" i="8"/>
  <c r="J269" i="8"/>
  <c r="I269" i="8"/>
  <c r="H269" i="8"/>
  <c r="J268" i="8"/>
  <c r="I268" i="8"/>
  <c r="H268" i="8"/>
  <c r="J267" i="8"/>
  <c r="I267" i="8"/>
  <c r="H267" i="8"/>
  <c r="J266" i="8"/>
  <c r="I266" i="8"/>
  <c r="H266" i="8"/>
  <c r="J265" i="8"/>
  <c r="I265" i="8"/>
  <c r="H265" i="8"/>
  <c r="J264" i="8"/>
  <c r="I264" i="8"/>
  <c r="H264" i="8"/>
  <c r="J263" i="8"/>
  <c r="I263" i="8"/>
  <c r="H263" i="8"/>
  <c r="J262" i="8"/>
  <c r="I262" i="8"/>
  <c r="H262" i="8"/>
  <c r="J261" i="8"/>
  <c r="I261" i="8"/>
  <c r="H261" i="8"/>
  <c r="J260" i="8"/>
  <c r="I260" i="8"/>
  <c r="H260" i="8"/>
  <c r="J259" i="8"/>
  <c r="I259" i="8"/>
  <c r="H259" i="8"/>
  <c r="J258" i="8"/>
  <c r="I258" i="8"/>
  <c r="H258" i="8"/>
  <c r="J257" i="8"/>
  <c r="I257" i="8"/>
  <c r="H257" i="8"/>
  <c r="J256" i="8"/>
  <c r="I256" i="8"/>
  <c r="H256" i="8"/>
  <c r="J255" i="8"/>
  <c r="I255" i="8"/>
  <c r="H255" i="8"/>
  <c r="J254" i="8"/>
  <c r="I254" i="8"/>
  <c r="H254" i="8"/>
  <c r="J253" i="8"/>
  <c r="I253" i="8"/>
  <c r="H253" i="8"/>
  <c r="J252" i="8"/>
  <c r="I252" i="8"/>
  <c r="H252" i="8"/>
  <c r="J251" i="8"/>
  <c r="I251" i="8"/>
  <c r="H251" i="8"/>
  <c r="J250" i="8"/>
  <c r="I250" i="8"/>
  <c r="H250" i="8"/>
  <c r="J249" i="8"/>
  <c r="I249" i="8"/>
  <c r="H249" i="8"/>
  <c r="J248" i="8"/>
  <c r="I248" i="8"/>
  <c r="H248" i="8"/>
  <c r="J247" i="8"/>
  <c r="I247" i="8"/>
  <c r="H247" i="8"/>
  <c r="J246" i="8"/>
  <c r="I246" i="8"/>
  <c r="H246" i="8"/>
  <c r="J245" i="8"/>
  <c r="I245" i="8"/>
  <c r="H245" i="8"/>
  <c r="J244" i="8"/>
  <c r="I244" i="8"/>
  <c r="H244" i="8"/>
  <c r="J243" i="8"/>
  <c r="I243" i="8"/>
  <c r="H243" i="8"/>
  <c r="J242" i="8"/>
  <c r="I242" i="8"/>
  <c r="H242" i="8"/>
  <c r="J241" i="8"/>
  <c r="I241" i="8"/>
  <c r="H241" i="8"/>
  <c r="J240" i="8"/>
  <c r="I240" i="8"/>
  <c r="H240" i="8"/>
  <c r="J239" i="8"/>
  <c r="I239" i="8"/>
  <c r="H239" i="8"/>
  <c r="J238" i="8"/>
  <c r="I238" i="8"/>
  <c r="H238" i="8"/>
  <c r="J237" i="8"/>
  <c r="I237" i="8"/>
  <c r="H237" i="8"/>
  <c r="J236" i="8"/>
  <c r="I236" i="8"/>
  <c r="H236" i="8"/>
  <c r="J235" i="8"/>
  <c r="I235" i="8"/>
  <c r="H235" i="8"/>
  <c r="J234" i="8"/>
  <c r="I234" i="8"/>
  <c r="H234" i="8"/>
  <c r="J233" i="8"/>
  <c r="I233" i="8"/>
  <c r="H233" i="8"/>
  <c r="J232" i="8"/>
  <c r="I232" i="8"/>
  <c r="H232" i="8"/>
  <c r="J231" i="8"/>
  <c r="I231" i="8"/>
  <c r="H231" i="8"/>
  <c r="J230" i="8"/>
  <c r="I230" i="8"/>
  <c r="H230" i="8"/>
  <c r="J229" i="8"/>
  <c r="I229" i="8"/>
  <c r="H229" i="8"/>
  <c r="J228" i="8"/>
  <c r="I228" i="8"/>
  <c r="H228" i="8"/>
  <c r="J227" i="8"/>
  <c r="I227" i="8"/>
  <c r="H227" i="8"/>
  <c r="J226" i="8"/>
  <c r="I226" i="8"/>
  <c r="H226" i="8"/>
  <c r="J225" i="8"/>
  <c r="I225" i="8"/>
  <c r="H225" i="8"/>
  <c r="J224" i="8"/>
  <c r="I224" i="8"/>
  <c r="H224" i="8"/>
  <c r="J223" i="8"/>
  <c r="I223" i="8"/>
  <c r="H223" i="8"/>
  <c r="J222" i="8"/>
  <c r="I222" i="8"/>
  <c r="H222" i="8"/>
  <c r="J221" i="8"/>
  <c r="I221" i="8"/>
  <c r="H221" i="8"/>
  <c r="J220" i="8"/>
  <c r="I220" i="8"/>
  <c r="H220" i="8"/>
  <c r="J219" i="8"/>
  <c r="I219" i="8"/>
  <c r="H219" i="8"/>
  <c r="J218" i="8"/>
  <c r="I218" i="8"/>
  <c r="H218" i="8"/>
  <c r="J217" i="8"/>
  <c r="I217" i="8"/>
  <c r="H217" i="8"/>
  <c r="J216" i="8"/>
  <c r="I216" i="8"/>
  <c r="H216" i="8"/>
  <c r="J215" i="8"/>
  <c r="I215" i="8"/>
  <c r="H215" i="8"/>
  <c r="J214" i="8"/>
  <c r="I214" i="8"/>
  <c r="H214" i="8"/>
  <c r="J213" i="8"/>
  <c r="I213" i="8"/>
  <c r="H213" i="8"/>
  <c r="J212" i="8"/>
  <c r="I212" i="8"/>
  <c r="H212" i="8"/>
  <c r="J211" i="8"/>
  <c r="I211" i="8"/>
  <c r="H211" i="8"/>
  <c r="J210" i="8"/>
  <c r="I210" i="8"/>
  <c r="H210" i="8"/>
  <c r="J209" i="8"/>
  <c r="I209" i="8"/>
  <c r="H209" i="8"/>
  <c r="J208" i="8"/>
  <c r="I208" i="8"/>
  <c r="H208" i="8"/>
  <c r="J207" i="8"/>
  <c r="I207" i="8"/>
  <c r="H207" i="8"/>
  <c r="J206" i="8"/>
  <c r="I206" i="8"/>
  <c r="H206" i="8"/>
  <c r="J205" i="8"/>
  <c r="I205" i="8"/>
  <c r="H205" i="8"/>
  <c r="J204" i="8"/>
  <c r="I204" i="8"/>
  <c r="H204" i="8"/>
  <c r="J203" i="8"/>
  <c r="I203" i="8"/>
  <c r="H203" i="8"/>
  <c r="J202" i="8"/>
  <c r="I202" i="8"/>
  <c r="H202" i="8"/>
  <c r="J201" i="8"/>
  <c r="I201" i="8"/>
  <c r="H201" i="8"/>
  <c r="J200" i="8"/>
  <c r="I200" i="8"/>
  <c r="H200" i="8"/>
  <c r="J199" i="8"/>
  <c r="I199" i="8"/>
  <c r="H199" i="8"/>
  <c r="J198" i="8"/>
  <c r="I198" i="8"/>
  <c r="H198" i="8"/>
  <c r="J197" i="8"/>
  <c r="I197" i="8"/>
  <c r="H197" i="8"/>
  <c r="J196" i="8"/>
  <c r="I196" i="8"/>
  <c r="H196" i="8"/>
  <c r="J195" i="8"/>
  <c r="I195" i="8"/>
  <c r="H195" i="8"/>
  <c r="J194" i="8"/>
  <c r="I194" i="8"/>
  <c r="H194" i="8"/>
  <c r="J193" i="8"/>
  <c r="I193" i="8"/>
  <c r="H193" i="8"/>
  <c r="J192" i="8"/>
  <c r="I192" i="8"/>
  <c r="H192" i="8"/>
  <c r="J191" i="8"/>
  <c r="I191" i="8"/>
  <c r="H191" i="8"/>
  <c r="J190" i="8"/>
  <c r="I190" i="8"/>
  <c r="H190" i="8"/>
  <c r="J189" i="8"/>
  <c r="I189" i="8"/>
  <c r="H189" i="8"/>
  <c r="J188" i="8"/>
  <c r="I188" i="8"/>
  <c r="H188" i="8"/>
  <c r="J187" i="8"/>
  <c r="I187" i="8"/>
  <c r="H187" i="8"/>
  <c r="J186" i="8"/>
  <c r="I186" i="8"/>
  <c r="H186" i="8"/>
  <c r="J185" i="8"/>
  <c r="I185" i="8"/>
  <c r="H185" i="8"/>
  <c r="J184" i="8"/>
  <c r="I184" i="8"/>
  <c r="H184" i="8"/>
  <c r="J183" i="8"/>
  <c r="I183" i="8"/>
  <c r="H183" i="8"/>
  <c r="J182" i="8"/>
  <c r="I182" i="8"/>
  <c r="H182" i="8"/>
  <c r="J181" i="8"/>
  <c r="I181" i="8"/>
  <c r="H181" i="8"/>
  <c r="J180" i="8"/>
  <c r="I180" i="8"/>
  <c r="H180" i="8"/>
  <c r="J179" i="8"/>
  <c r="I179" i="8"/>
  <c r="H179" i="8"/>
  <c r="J178" i="8"/>
  <c r="I178" i="8"/>
  <c r="H178" i="8"/>
  <c r="J177" i="8"/>
  <c r="I177" i="8"/>
  <c r="H177" i="8"/>
  <c r="J176" i="8"/>
  <c r="I176" i="8"/>
  <c r="H176" i="8"/>
  <c r="J175" i="8"/>
  <c r="I175" i="8"/>
  <c r="H175" i="8"/>
  <c r="J174" i="8"/>
  <c r="I174" i="8"/>
  <c r="H174" i="8"/>
  <c r="J173" i="8"/>
  <c r="I173" i="8"/>
  <c r="H173" i="8"/>
  <c r="J172" i="8"/>
  <c r="I172" i="8"/>
  <c r="H172" i="8"/>
  <c r="J171" i="8"/>
  <c r="I171" i="8"/>
  <c r="H171" i="8"/>
  <c r="J170" i="8"/>
  <c r="I170" i="8"/>
  <c r="H170" i="8"/>
  <c r="J169" i="8"/>
  <c r="I169" i="8"/>
  <c r="H169" i="8"/>
  <c r="J168" i="8"/>
  <c r="I168" i="8"/>
  <c r="H168" i="8"/>
  <c r="J167" i="8"/>
  <c r="I167" i="8"/>
  <c r="H167" i="8"/>
  <c r="J166" i="8"/>
  <c r="I166" i="8"/>
  <c r="H166" i="8"/>
  <c r="J165" i="8"/>
  <c r="I165" i="8"/>
  <c r="H165" i="8"/>
  <c r="J164" i="8"/>
  <c r="I164" i="8"/>
  <c r="H164" i="8"/>
  <c r="J163" i="8"/>
  <c r="I163" i="8"/>
  <c r="H163" i="8"/>
  <c r="J162" i="8"/>
  <c r="I162" i="8"/>
  <c r="H162" i="8"/>
  <c r="J161" i="8"/>
  <c r="I161" i="8"/>
  <c r="H161" i="8"/>
  <c r="J160" i="8"/>
  <c r="I160" i="8"/>
  <c r="H160" i="8"/>
  <c r="J159" i="8"/>
  <c r="I159" i="8"/>
  <c r="H159" i="8"/>
  <c r="J158" i="8"/>
  <c r="I158" i="8"/>
  <c r="H158" i="8"/>
  <c r="J157" i="8"/>
  <c r="I157" i="8"/>
  <c r="H157" i="8"/>
  <c r="J156" i="8"/>
  <c r="I156" i="8"/>
  <c r="H156" i="8"/>
  <c r="J155" i="8"/>
  <c r="I155" i="8"/>
  <c r="H155" i="8"/>
  <c r="J154" i="8"/>
  <c r="I154" i="8"/>
  <c r="H154" i="8"/>
  <c r="J153" i="8"/>
  <c r="I153" i="8"/>
  <c r="H153" i="8"/>
  <c r="J152" i="8"/>
  <c r="I152" i="8"/>
  <c r="H152" i="8"/>
  <c r="J151" i="8"/>
  <c r="I151" i="8"/>
  <c r="H151" i="8"/>
  <c r="J150" i="8"/>
  <c r="I150" i="8"/>
  <c r="H150" i="8"/>
  <c r="J149" i="8"/>
  <c r="I149" i="8"/>
  <c r="H149" i="8"/>
  <c r="J148" i="8"/>
  <c r="I148" i="8"/>
  <c r="H148" i="8"/>
  <c r="J147" i="8"/>
  <c r="I147" i="8"/>
  <c r="H147" i="8"/>
  <c r="J146" i="8"/>
  <c r="I146" i="8"/>
  <c r="H146" i="8"/>
  <c r="J145" i="8"/>
  <c r="I145" i="8"/>
  <c r="H145" i="8"/>
  <c r="J144" i="8"/>
  <c r="I144" i="8"/>
  <c r="H144" i="8"/>
  <c r="J143" i="8"/>
  <c r="I143" i="8"/>
  <c r="H143" i="8"/>
  <c r="J142" i="8"/>
  <c r="I142" i="8"/>
  <c r="H142" i="8"/>
  <c r="J141" i="8"/>
  <c r="I141" i="8"/>
  <c r="H141" i="8"/>
  <c r="J140" i="8"/>
  <c r="I140" i="8"/>
  <c r="H140" i="8"/>
  <c r="J139" i="8"/>
  <c r="I139" i="8"/>
  <c r="H139" i="8"/>
  <c r="J138" i="8"/>
  <c r="I138" i="8"/>
  <c r="H138" i="8"/>
  <c r="J137" i="8"/>
  <c r="I137" i="8"/>
  <c r="H137" i="8"/>
  <c r="J136" i="8"/>
  <c r="I136" i="8"/>
  <c r="H136" i="8"/>
  <c r="J135" i="8"/>
  <c r="I135" i="8"/>
  <c r="H135" i="8"/>
  <c r="J134" i="8"/>
  <c r="I134" i="8"/>
  <c r="H134" i="8"/>
  <c r="J133" i="8"/>
  <c r="I133" i="8"/>
  <c r="H133" i="8"/>
  <c r="J132" i="8"/>
  <c r="I132" i="8"/>
  <c r="H132" i="8"/>
  <c r="J131" i="8"/>
  <c r="I131" i="8"/>
  <c r="H131" i="8"/>
  <c r="J130" i="8"/>
  <c r="I130" i="8"/>
  <c r="H130" i="8"/>
  <c r="J129" i="8"/>
  <c r="I129" i="8"/>
  <c r="H129" i="8"/>
  <c r="J128" i="8"/>
  <c r="I128" i="8"/>
  <c r="H128" i="8"/>
  <c r="J127" i="8"/>
  <c r="I127" i="8"/>
  <c r="H127" i="8"/>
  <c r="J126" i="8"/>
  <c r="I126" i="8"/>
  <c r="H126" i="8"/>
  <c r="J125" i="8"/>
  <c r="I125" i="8"/>
  <c r="H125" i="8"/>
  <c r="J124" i="8"/>
  <c r="I124" i="8"/>
  <c r="H124" i="8"/>
  <c r="J123" i="8"/>
  <c r="I123" i="8"/>
  <c r="H123" i="8"/>
  <c r="J122" i="8"/>
  <c r="I122" i="8"/>
  <c r="H122" i="8"/>
  <c r="J121" i="8"/>
  <c r="I121" i="8"/>
  <c r="H121" i="8"/>
  <c r="J120" i="8"/>
  <c r="I120" i="8"/>
  <c r="H120" i="8"/>
  <c r="J119" i="8"/>
  <c r="I119" i="8"/>
  <c r="H119" i="8"/>
  <c r="J118" i="8"/>
  <c r="I118" i="8"/>
  <c r="H118" i="8"/>
  <c r="J117" i="8"/>
  <c r="I117" i="8"/>
  <c r="H117" i="8"/>
  <c r="J116" i="8"/>
  <c r="I116" i="8"/>
  <c r="H116" i="8"/>
  <c r="J115" i="8"/>
  <c r="I115" i="8"/>
  <c r="H115" i="8"/>
  <c r="J114" i="8"/>
  <c r="I114" i="8"/>
  <c r="H114" i="8"/>
  <c r="J113" i="8"/>
  <c r="I113" i="8"/>
  <c r="H113" i="8"/>
  <c r="J112" i="8"/>
  <c r="I112" i="8"/>
  <c r="H112" i="8"/>
  <c r="J111" i="8"/>
  <c r="I111" i="8"/>
  <c r="H111" i="8"/>
  <c r="J110" i="8"/>
  <c r="I110" i="8"/>
  <c r="H110" i="8"/>
  <c r="J109" i="8"/>
  <c r="I109" i="8"/>
  <c r="H109" i="8"/>
  <c r="J108" i="8"/>
  <c r="I108" i="8"/>
  <c r="H108" i="8"/>
  <c r="J107" i="8"/>
  <c r="I107" i="8"/>
  <c r="H107" i="8"/>
  <c r="J106" i="8"/>
  <c r="I106" i="8"/>
  <c r="H106" i="8"/>
  <c r="J105" i="8"/>
  <c r="I105" i="8"/>
  <c r="H105" i="8"/>
  <c r="J104" i="8"/>
  <c r="I104" i="8"/>
  <c r="H104" i="8"/>
  <c r="J103" i="8"/>
  <c r="I103" i="8"/>
  <c r="H103" i="8"/>
  <c r="J102" i="8"/>
  <c r="I102" i="8"/>
  <c r="H102" i="8"/>
  <c r="J101" i="8"/>
  <c r="I101" i="8"/>
  <c r="H101" i="8"/>
  <c r="J100" i="8"/>
  <c r="I100" i="8"/>
  <c r="H100" i="8"/>
  <c r="J99" i="8"/>
  <c r="I99" i="8"/>
  <c r="H99" i="8"/>
  <c r="J98" i="8"/>
  <c r="I98" i="8"/>
  <c r="H98" i="8"/>
  <c r="J97" i="8"/>
  <c r="I97" i="8"/>
  <c r="H97" i="8"/>
  <c r="J96" i="8"/>
  <c r="I96" i="8"/>
  <c r="H96" i="8"/>
  <c r="J95" i="8"/>
  <c r="I95" i="8"/>
  <c r="H95" i="8"/>
  <c r="J94" i="8"/>
  <c r="I94" i="8"/>
  <c r="H94" i="8"/>
  <c r="J93" i="8"/>
  <c r="I93" i="8"/>
  <c r="H93" i="8"/>
  <c r="J92" i="8"/>
  <c r="I92" i="8"/>
  <c r="H92" i="8"/>
  <c r="J91" i="8"/>
  <c r="I91" i="8"/>
  <c r="H91" i="8"/>
  <c r="J90" i="8"/>
  <c r="I90" i="8"/>
  <c r="H90" i="8"/>
  <c r="J89" i="8"/>
  <c r="I89" i="8"/>
  <c r="H89" i="8"/>
  <c r="J88" i="8"/>
  <c r="I88" i="8"/>
  <c r="H88" i="8"/>
  <c r="J87" i="8"/>
  <c r="I87" i="8"/>
  <c r="H87" i="8"/>
  <c r="J86" i="8"/>
  <c r="I86" i="8"/>
  <c r="H86" i="8"/>
  <c r="J85" i="8"/>
  <c r="I85" i="8"/>
  <c r="H85" i="8"/>
  <c r="J84" i="8"/>
  <c r="I84" i="8"/>
  <c r="H84" i="8"/>
  <c r="J83" i="8"/>
  <c r="I83" i="8"/>
  <c r="H83" i="8"/>
  <c r="J82" i="8"/>
  <c r="I82" i="8"/>
  <c r="H82" i="8"/>
  <c r="J81" i="8"/>
  <c r="I81" i="8"/>
  <c r="H81" i="8"/>
  <c r="J80" i="8"/>
  <c r="I80" i="8"/>
  <c r="H80" i="8"/>
  <c r="J79" i="8"/>
  <c r="I79" i="8"/>
  <c r="H79" i="8"/>
  <c r="J78" i="8"/>
  <c r="I78" i="8"/>
  <c r="H78" i="8"/>
  <c r="J77" i="8"/>
  <c r="I77" i="8"/>
  <c r="H77" i="8"/>
  <c r="J76" i="8"/>
  <c r="I76" i="8"/>
  <c r="H76" i="8"/>
  <c r="J75" i="8"/>
  <c r="I75" i="8"/>
  <c r="H75" i="8"/>
  <c r="J74" i="8"/>
  <c r="I74" i="8"/>
  <c r="H74" i="8"/>
  <c r="J73" i="8"/>
  <c r="I73" i="8"/>
  <c r="H73" i="8"/>
  <c r="J72" i="8"/>
  <c r="I72" i="8"/>
  <c r="H72" i="8"/>
  <c r="J71" i="8"/>
  <c r="I71" i="8"/>
  <c r="H71" i="8"/>
  <c r="J70" i="8"/>
  <c r="I70" i="8"/>
  <c r="H70" i="8"/>
  <c r="J69" i="8"/>
  <c r="I69" i="8"/>
  <c r="H69" i="8"/>
  <c r="J68" i="8"/>
  <c r="I68" i="8"/>
  <c r="H68" i="8"/>
  <c r="J67" i="8"/>
  <c r="I67" i="8"/>
  <c r="H67" i="8"/>
  <c r="J66" i="8"/>
  <c r="I66" i="8"/>
  <c r="H66" i="8"/>
  <c r="J65" i="8"/>
  <c r="I65" i="8"/>
  <c r="H65" i="8"/>
  <c r="J64" i="8"/>
  <c r="I64" i="8"/>
  <c r="H64" i="8"/>
  <c r="J63" i="8"/>
  <c r="I63" i="8"/>
  <c r="H63" i="8"/>
  <c r="J62" i="8"/>
  <c r="I62" i="8"/>
  <c r="H62" i="8"/>
  <c r="J61" i="8"/>
  <c r="I61" i="8"/>
  <c r="H61" i="8"/>
  <c r="J60" i="8"/>
  <c r="I60" i="8"/>
  <c r="H60" i="8"/>
  <c r="J59" i="8"/>
  <c r="I59" i="8"/>
  <c r="H59" i="8"/>
  <c r="J58" i="8"/>
  <c r="I58" i="8"/>
  <c r="H58" i="8"/>
  <c r="J57" i="8"/>
  <c r="I57" i="8"/>
  <c r="H57" i="8"/>
  <c r="J56" i="8"/>
  <c r="I56" i="8"/>
  <c r="H56" i="8"/>
  <c r="J55" i="8"/>
  <c r="I55" i="8"/>
  <c r="H55" i="8"/>
  <c r="J54" i="8"/>
  <c r="I54" i="8"/>
  <c r="H54" i="8"/>
  <c r="J53" i="8"/>
  <c r="I53" i="8"/>
  <c r="H53" i="8"/>
  <c r="J52" i="8"/>
  <c r="I52" i="8"/>
  <c r="H52" i="8"/>
  <c r="J51" i="8"/>
  <c r="I51" i="8"/>
  <c r="H51" i="8"/>
  <c r="J50" i="8"/>
  <c r="I50" i="8"/>
  <c r="H50" i="8"/>
  <c r="J49" i="8"/>
  <c r="I49" i="8"/>
  <c r="H49" i="8"/>
  <c r="J48" i="8"/>
  <c r="I48" i="8"/>
  <c r="H48" i="8"/>
  <c r="J47" i="8"/>
  <c r="I47" i="8"/>
  <c r="H47" i="8"/>
  <c r="J46" i="8"/>
  <c r="I46" i="8"/>
  <c r="H46" i="8"/>
  <c r="J45" i="8"/>
  <c r="I45" i="8"/>
  <c r="H45" i="8"/>
  <c r="J44" i="8"/>
  <c r="I44" i="8"/>
  <c r="H44" i="8"/>
  <c r="J43" i="8"/>
  <c r="I43" i="8"/>
  <c r="H43" i="8"/>
  <c r="J42" i="8"/>
  <c r="I42" i="8"/>
  <c r="H42" i="8"/>
  <c r="J41" i="8"/>
  <c r="I41" i="8"/>
  <c r="H41" i="8"/>
  <c r="J40" i="8"/>
  <c r="I40" i="8"/>
  <c r="H40" i="8"/>
  <c r="J39" i="8"/>
  <c r="I39" i="8"/>
  <c r="H39" i="8"/>
  <c r="J38" i="8"/>
  <c r="I38" i="8"/>
  <c r="H38" i="8"/>
  <c r="J37" i="8"/>
  <c r="I37" i="8"/>
  <c r="H37" i="8"/>
  <c r="J36" i="8"/>
  <c r="I36" i="8"/>
  <c r="H36" i="8"/>
  <c r="J35" i="8"/>
  <c r="I35" i="8"/>
  <c r="H35" i="8"/>
  <c r="J34" i="8"/>
  <c r="I34" i="8"/>
  <c r="H34" i="8"/>
  <c r="J33" i="8"/>
  <c r="I33" i="8"/>
  <c r="H33" i="8"/>
  <c r="J32" i="8"/>
  <c r="I32" i="8"/>
  <c r="H32" i="8"/>
  <c r="J31" i="8"/>
  <c r="I31" i="8"/>
  <c r="H31" i="8"/>
  <c r="J30" i="8"/>
  <c r="I30" i="8"/>
  <c r="H30" i="8"/>
  <c r="J29" i="8"/>
  <c r="I29" i="8"/>
  <c r="H29" i="8"/>
  <c r="J28" i="8"/>
  <c r="I28" i="8"/>
  <c r="H28" i="8"/>
  <c r="J27" i="8"/>
  <c r="I27" i="8"/>
  <c r="H27" i="8"/>
  <c r="J26" i="8"/>
  <c r="I26" i="8"/>
  <c r="H26" i="8"/>
  <c r="J25" i="8"/>
  <c r="I25" i="8"/>
  <c r="H25" i="8"/>
  <c r="J24" i="8"/>
  <c r="I24" i="8"/>
  <c r="H24" i="8"/>
  <c r="J23" i="8"/>
  <c r="I23" i="8"/>
  <c r="H23" i="8"/>
  <c r="J22" i="8"/>
  <c r="I22" i="8"/>
  <c r="H22" i="8"/>
  <c r="J21" i="8"/>
  <c r="I21" i="8"/>
  <c r="H21" i="8"/>
  <c r="J20" i="8"/>
  <c r="I20" i="8"/>
  <c r="H20" i="8"/>
  <c r="J19" i="8"/>
  <c r="I19" i="8"/>
  <c r="H19" i="8"/>
  <c r="J18" i="8"/>
  <c r="I18" i="8"/>
  <c r="H18" i="8"/>
  <c r="J17" i="8"/>
  <c r="I17" i="8"/>
  <c r="H17" i="8"/>
  <c r="J16" i="8"/>
  <c r="I16" i="8"/>
  <c r="H16" i="8"/>
  <c r="J15" i="8"/>
  <c r="I15" i="8"/>
  <c r="H15" i="8"/>
  <c r="J14" i="8"/>
  <c r="I14" i="8"/>
  <c r="H14" i="8"/>
  <c r="J13" i="8"/>
  <c r="I13" i="8"/>
  <c r="H13" i="8"/>
  <c r="J12" i="8"/>
  <c r="I12" i="8"/>
  <c r="H12" i="8"/>
  <c r="J11" i="8"/>
  <c r="I11" i="8"/>
  <c r="H11" i="8"/>
  <c r="J10" i="8"/>
  <c r="I10" i="8"/>
  <c r="H10" i="8"/>
  <c r="J9" i="8"/>
  <c r="I9" i="8"/>
  <c r="H9" i="8"/>
  <c r="J8" i="8"/>
  <c r="I8" i="8"/>
  <c r="H8" i="8"/>
  <c r="J7" i="8"/>
  <c r="I7" i="8"/>
  <c r="H7" i="8"/>
  <c r="J6" i="8"/>
  <c r="I6" i="8"/>
  <c r="H6" i="8"/>
  <c r="J5" i="8"/>
  <c r="I5" i="8"/>
  <c r="H5" i="8"/>
  <c r="J4" i="8"/>
  <c r="I4" i="8"/>
  <c r="H4" i="8"/>
  <c r="J3" i="8"/>
  <c r="I3" i="8"/>
  <c r="H3" i="8"/>
  <c r="J2" i="8"/>
  <c r="I2" i="8"/>
  <c r="H2" i="8"/>
  <c r="K401" i="1"/>
  <c r="J401" i="1"/>
  <c r="I401" i="1"/>
  <c r="K400" i="1"/>
  <c r="J400" i="1"/>
  <c r="I400" i="1"/>
  <c r="K399" i="1"/>
  <c r="J399" i="1"/>
  <c r="I399" i="1"/>
  <c r="K398" i="1"/>
  <c r="J398" i="1"/>
  <c r="I398" i="1"/>
  <c r="K397" i="1"/>
  <c r="J397" i="1"/>
  <c r="I397" i="1"/>
  <c r="K396" i="1"/>
  <c r="J396" i="1"/>
  <c r="I396" i="1"/>
  <c r="K395" i="1"/>
  <c r="J395" i="1"/>
  <c r="I395" i="1"/>
  <c r="K394" i="1"/>
  <c r="J394" i="1"/>
  <c r="I394" i="1"/>
  <c r="K393" i="1"/>
  <c r="J393" i="1"/>
  <c r="I393" i="1"/>
  <c r="K392" i="1"/>
  <c r="J392" i="1"/>
  <c r="I392" i="1"/>
  <c r="K391" i="1"/>
  <c r="J391" i="1"/>
  <c r="I391" i="1"/>
  <c r="K390" i="1"/>
  <c r="J390" i="1"/>
  <c r="I390" i="1"/>
  <c r="K389" i="1"/>
  <c r="J389" i="1"/>
  <c r="I389" i="1"/>
  <c r="K388" i="1"/>
  <c r="J388" i="1"/>
  <c r="I388" i="1"/>
  <c r="K387" i="1"/>
  <c r="J387" i="1"/>
  <c r="I387" i="1"/>
  <c r="K386" i="1"/>
  <c r="J386" i="1"/>
  <c r="I386" i="1"/>
  <c r="K385" i="1"/>
  <c r="J385" i="1"/>
  <c r="I385" i="1"/>
  <c r="K384" i="1"/>
  <c r="J384" i="1"/>
  <c r="I384" i="1"/>
  <c r="K383" i="1"/>
  <c r="J383" i="1"/>
  <c r="I383" i="1"/>
  <c r="K382" i="1"/>
  <c r="J382" i="1"/>
  <c r="I382" i="1"/>
  <c r="K381" i="1"/>
  <c r="J381" i="1"/>
  <c r="I381" i="1"/>
  <c r="K380" i="1"/>
  <c r="J380" i="1"/>
  <c r="I380" i="1"/>
  <c r="K379" i="1"/>
  <c r="J379" i="1"/>
  <c r="I379" i="1"/>
  <c r="K378" i="1"/>
  <c r="J378" i="1"/>
  <c r="I378" i="1"/>
  <c r="K377" i="1"/>
  <c r="J377" i="1"/>
  <c r="I377" i="1"/>
  <c r="K376" i="1"/>
  <c r="J376" i="1"/>
  <c r="I376" i="1"/>
  <c r="K375" i="1"/>
  <c r="J375" i="1"/>
  <c r="I375" i="1"/>
  <c r="K374" i="1"/>
  <c r="J374" i="1"/>
  <c r="I374" i="1"/>
  <c r="K373" i="1"/>
  <c r="J373" i="1"/>
  <c r="I373" i="1"/>
  <c r="K372" i="1"/>
  <c r="J372" i="1"/>
  <c r="I372" i="1"/>
  <c r="K371" i="1"/>
  <c r="J371" i="1"/>
  <c r="I371" i="1"/>
  <c r="K370" i="1"/>
  <c r="J370" i="1"/>
  <c r="I370" i="1"/>
  <c r="K369" i="1"/>
  <c r="J369" i="1"/>
  <c r="I369" i="1"/>
  <c r="K368" i="1"/>
  <c r="J368" i="1"/>
  <c r="I368" i="1"/>
  <c r="K367" i="1"/>
  <c r="J367" i="1"/>
  <c r="I367" i="1"/>
  <c r="K366" i="1"/>
  <c r="J366" i="1"/>
  <c r="I366" i="1"/>
  <c r="K365" i="1"/>
  <c r="J365" i="1"/>
  <c r="I365" i="1"/>
  <c r="K364" i="1"/>
  <c r="J364" i="1"/>
  <c r="I364" i="1"/>
  <c r="K363" i="1"/>
  <c r="J363" i="1"/>
  <c r="I363" i="1"/>
  <c r="K362" i="1"/>
  <c r="J362" i="1"/>
  <c r="I362" i="1"/>
  <c r="K361" i="1"/>
  <c r="J361" i="1"/>
  <c r="I361" i="1"/>
  <c r="K360" i="1"/>
  <c r="J360" i="1"/>
  <c r="I360" i="1"/>
  <c r="K359" i="1"/>
  <c r="J359" i="1"/>
  <c r="I359" i="1"/>
  <c r="K358" i="1"/>
  <c r="J358" i="1"/>
  <c r="I358" i="1"/>
  <c r="K357" i="1"/>
  <c r="J357" i="1"/>
  <c r="I357" i="1"/>
  <c r="K356" i="1"/>
  <c r="J356" i="1"/>
  <c r="I356" i="1"/>
  <c r="K355" i="1"/>
  <c r="J355" i="1"/>
  <c r="I355" i="1"/>
  <c r="K354" i="1"/>
  <c r="J354" i="1"/>
  <c r="I354" i="1"/>
  <c r="K353" i="1"/>
  <c r="J353" i="1"/>
  <c r="I353" i="1"/>
  <c r="K352" i="1"/>
  <c r="J352" i="1"/>
  <c r="I352" i="1"/>
  <c r="K351" i="1"/>
  <c r="J351" i="1"/>
  <c r="I351" i="1"/>
  <c r="K350" i="1"/>
  <c r="J350" i="1"/>
  <c r="I350" i="1"/>
  <c r="K349" i="1"/>
  <c r="J349" i="1"/>
  <c r="I349" i="1"/>
  <c r="K348" i="1"/>
  <c r="J348" i="1"/>
  <c r="I348" i="1"/>
  <c r="K347" i="1"/>
  <c r="J347" i="1"/>
  <c r="I347" i="1"/>
  <c r="K346" i="1"/>
  <c r="J346" i="1"/>
  <c r="I346" i="1"/>
  <c r="K345" i="1"/>
  <c r="J345" i="1"/>
  <c r="I345" i="1"/>
  <c r="K344" i="1"/>
  <c r="J344" i="1"/>
  <c r="I344" i="1"/>
  <c r="K343" i="1"/>
  <c r="J343" i="1"/>
  <c r="I343" i="1"/>
  <c r="K342" i="1"/>
  <c r="J342" i="1"/>
  <c r="I342" i="1"/>
  <c r="K341" i="1"/>
  <c r="J341" i="1"/>
  <c r="I341" i="1"/>
  <c r="K340" i="1"/>
  <c r="J340" i="1"/>
  <c r="I340" i="1"/>
  <c r="K339" i="1"/>
  <c r="J339" i="1"/>
  <c r="I339" i="1"/>
  <c r="K338" i="1"/>
  <c r="J338" i="1"/>
  <c r="I338" i="1"/>
  <c r="K337" i="1"/>
  <c r="J337" i="1"/>
  <c r="I337" i="1"/>
  <c r="K336" i="1"/>
  <c r="J336" i="1"/>
  <c r="I336" i="1"/>
  <c r="K335" i="1"/>
  <c r="J335" i="1"/>
  <c r="I335" i="1"/>
  <c r="K334" i="1"/>
  <c r="J334" i="1"/>
  <c r="I334" i="1"/>
  <c r="K333" i="1"/>
  <c r="J333" i="1"/>
  <c r="I333" i="1"/>
  <c r="K332" i="1"/>
  <c r="J332" i="1"/>
  <c r="I332" i="1"/>
  <c r="K331" i="1"/>
  <c r="J331" i="1"/>
  <c r="I331" i="1"/>
  <c r="K330" i="1"/>
  <c r="J330" i="1"/>
  <c r="I330" i="1"/>
  <c r="K329" i="1"/>
  <c r="J329" i="1"/>
  <c r="I329" i="1"/>
  <c r="K328" i="1"/>
  <c r="J328" i="1"/>
  <c r="I328" i="1"/>
  <c r="K327" i="1"/>
  <c r="J327" i="1"/>
  <c r="I327" i="1"/>
  <c r="K326" i="1"/>
  <c r="J326" i="1"/>
  <c r="I326" i="1"/>
  <c r="K325" i="1"/>
  <c r="J325" i="1"/>
  <c r="I325" i="1"/>
  <c r="K324" i="1"/>
  <c r="J324" i="1"/>
  <c r="I324" i="1"/>
  <c r="K323" i="1"/>
  <c r="J323" i="1"/>
  <c r="I323" i="1"/>
  <c r="K322" i="1"/>
  <c r="J322" i="1"/>
  <c r="I322" i="1"/>
  <c r="K321" i="1"/>
  <c r="J321" i="1"/>
  <c r="I321" i="1"/>
  <c r="K320" i="1"/>
  <c r="J320" i="1"/>
  <c r="I320" i="1"/>
  <c r="K319" i="1"/>
  <c r="J319" i="1"/>
  <c r="I319" i="1"/>
  <c r="K318" i="1"/>
  <c r="J318" i="1"/>
  <c r="I318" i="1"/>
  <c r="K317" i="1"/>
  <c r="J317" i="1"/>
  <c r="I317" i="1"/>
  <c r="K316" i="1"/>
  <c r="J316" i="1"/>
  <c r="I316" i="1"/>
  <c r="K315" i="1"/>
  <c r="J315" i="1"/>
  <c r="I315" i="1"/>
  <c r="K314" i="1"/>
  <c r="J314" i="1"/>
  <c r="I314" i="1"/>
  <c r="K313" i="1"/>
  <c r="J313" i="1"/>
  <c r="I313" i="1"/>
  <c r="K312" i="1"/>
  <c r="J312" i="1"/>
  <c r="I312" i="1"/>
  <c r="K311" i="1"/>
  <c r="J311" i="1"/>
  <c r="I311" i="1"/>
  <c r="K310" i="1"/>
  <c r="J310" i="1"/>
  <c r="I310" i="1"/>
  <c r="K309" i="1"/>
  <c r="J309" i="1"/>
  <c r="I309" i="1"/>
  <c r="K308" i="1"/>
  <c r="J308" i="1"/>
  <c r="I308" i="1"/>
  <c r="K307" i="1"/>
  <c r="J307" i="1"/>
  <c r="I307" i="1"/>
  <c r="K306" i="1"/>
  <c r="J306" i="1"/>
  <c r="I306" i="1"/>
  <c r="K305" i="1"/>
  <c r="J305" i="1"/>
  <c r="I305" i="1"/>
  <c r="K304" i="1"/>
  <c r="J304" i="1"/>
  <c r="I304" i="1"/>
  <c r="K303" i="1"/>
  <c r="J303" i="1"/>
  <c r="I303" i="1"/>
  <c r="K302" i="1"/>
  <c r="J302" i="1"/>
  <c r="I302" i="1"/>
  <c r="K301" i="1"/>
  <c r="J301" i="1"/>
  <c r="I301" i="1"/>
  <c r="K300" i="1"/>
  <c r="J300" i="1"/>
  <c r="I300" i="1"/>
  <c r="K299" i="1"/>
  <c r="J299" i="1"/>
  <c r="I299" i="1"/>
  <c r="K298" i="1"/>
  <c r="J298" i="1"/>
  <c r="I298" i="1"/>
  <c r="K297" i="1"/>
  <c r="J297" i="1"/>
  <c r="I297" i="1"/>
  <c r="K296" i="1"/>
  <c r="J296" i="1"/>
  <c r="I296" i="1"/>
  <c r="K295" i="1"/>
  <c r="J295" i="1"/>
  <c r="I295" i="1"/>
  <c r="K294" i="1"/>
  <c r="J294" i="1"/>
  <c r="I294" i="1"/>
  <c r="K293" i="1"/>
  <c r="J293" i="1"/>
  <c r="I293" i="1"/>
  <c r="K292" i="1"/>
  <c r="J292" i="1"/>
  <c r="I292" i="1"/>
  <c r="K291" i="1"/>
  <c r="J291" i="1"/>
  <c r="I291" i="1"/>
  <c r="K290" i="1"/>
  <c r="J290" i="1"/>
  <c r="I290" i="1"/>
  <c r="K289" i="1"/>
  <c r="J289" i="1"/>
  <c r="I289" i="1"/>
  <c r="K288" i="1"/>
  <c r="J288" i="1"/>
  <c r="I288" i="1"/>
  <c r="K287" i="1"/>
  <c r="J287" i="1"/>
  <c r="I287" i="1"/>
  <c r="K286" i="1"/>
  <c r="J286" i="1"/>
  <c r="I286" i="1"/>
  <c r="K285" i="1"/>
  <c r="J285" i="1"/>
  <c r="I285" i="1"/>
  <c r="K284" i="1"/>
  <c r="J284" i="1"/>
  <c r="I284" i="1"/>
  <c r="K283" i="1"/>
  <c r="J283" i="1"/>
  <c r="I283" i="1"/>
  <c r="K282" i="1"/>
  <c r="J282" i="1"/>
  <c r="I282" i="1"/>
  <c r="K281" i="1"/>
  <c r="J281" i="1"/>
  <c r="I281" i="1"/>
  <c r="K280" i="1"/>
  <c r="J280" i="1"/>
  <c r="I280" i="1"/>
  <c r="K279" i="1"/>
  <c r="J279" i="1"/>
  <c r="I279" i="1"/>
  <c r="K278" i="1"/>
  <c r="J278" i="1"/>
  <c r="I278" i="1"/>
  <c r="K277" i="1"/>
  <c r="J277" i="1"/>
  <c r="I277" i="1"/>
  <c r="K276" i="1"/>
  <c r="J276" i="1"/>
  <c r="I276" i="1"/>
  <c r="K275" i="1"/>
  <c r="J275" i="1"/>
  <c r="I275" i="1"/>
  <c r="K274" i="1"/>
  <c r="J274" i="1"/>
  <c r="I274" i="1"/>
  <c r="K273" i="1"/>
  <c r="J273" i="1"/>
  <c r="I273" i="1"/>
  <c r="K272" i="1"/>
  <c r="J272" i="1"/>
  <c r="I272" i="1"/>
  <c r="K271" i="1"/>
  <c r="J271" i="1"/>
  <c r="I271" i="1"/>
  <c r="K270" i="1"/>
  <c r="J270" i="1"/>
  <c r="I270" i="1"/>
  <c r="K269" i="1"/>
  <c r="J269" i="1"/>
  <c r="I269" i="1"/>
  <c r="K268" i="1"/>
  <c r="J268" i="1"/>
  <c r="I268" i="1"/>
  <c r="K267" i="1"/>
  <c r="J267" i="1"/>
  <c r="I267" i="1"/>
  <c r="K266" i="1"/>
  <c r="J266" i="1"/>
  <c r="I266" i="1"/>
  <c r="K265" i="1"/>
  <c r="J265" i="1"/>
  <c r="I265" i="1"/>
  <c r="K264" i="1"/>
  <c r="J264" i="1"/>
  <c r="I264" i="1"/>
  <c r="K263" i="1"/>
  <c r="J263" i="1"/>
  <c r="I263" i="1"/>
  <c r="K262" i="1"/>
  <c r="J262" i="1"/>
  <c r="I262" i="1"/>
  <c r="K261" i="1"/>
  <c r="J261" i="1"/>
  <c r="I261" i="1"/>
  <c r="K260" i="1"/>
  <c r="J260" i="1"/>
  <c r="I260" i="1"/>
  <c r="K259" i="1"/>
  <c r="J259" i="1"/>
  <c r="I259" i="1"/>
  <c r="K258" i="1"/>
  <c r="J258" i="1"/>
  <c r="I258" i="1"/>
  <c r="K257" i="1"/>
  <c r="J257" i="1"/>
  <c r="I257" i="1"/>
  <c r="K256" i="1"/>
  <c r="J256" i="1"/>
  <c r="I256" i="1"/>
  <c r="K255" i="1"/>
  <c r="J255" i="1"/>
  <c r="I255" i="1"/>
  <c r="K254" i="1"/>
  <c r="J254" i="1"/>
  <c r="I254" i="1"/>
  <c r="K253" i="1"/>
  <c r="J253" i="1"/>
  <c r="I253" i="1"/>
  <c r="K252" i="1"/>
  <c r="J252" i="1"/>
  <c r="I252" i="1"/>
  <c r="K251" i="1"/>
  <c r="J251" i="1"/>
  <c r="I251" i="1"/>
  <c r="K250" i="1"/>
  <c r="J250" i="1"/>
  <c r="I250" i="1"/>
  <c r="K249" i="1"/>
  <c r="J249" i="1"/>
  <c r="I249" i="1"/>
  <c r="K248" i="1"/>
  <c r="J248" i="1"/>
  <c r="I248" i="1"/>
  <c r="K247" i="1"/>
  <c r="J247" i="1"/>
  <c r="I247" i="1"/>
  <c r="K246" i="1"/>
  <c r="J246" i="1"/>
  <c r="I246" i="1"/>
  <c r="K245" i="1"/>
  <c r="J245" i="1"/>
  <c r="I245" i="1"/>
  <c r="K244" i="1"/>
  <c r="J244" i="1"/>
  <c r="I244" i="1"/>
  <c r="K243" i="1"/>
  <c r="J243" i="1"/>
  <c r="I243" i="1"/>
  <c r="K242" i="1"/>
  <c r="J242" i="1"/>
  <c r="I242" i="1"/>
  <c r="K241" i="1"/>
  <c r="J241" i="1"/>
  <c r="I241" i="1"/>
  <c r="K240" i="1"/>
  <c r="J240" i="1"/>
  <c r="I240" i="1"/>
  <c r="K239" i="1"/>
  <c r="J239" i="1"/>
  <c r="I239" i="1"/>
  <c r="K238" i="1"/>
  <c r="J238" i="1"/>
  <c r="I238" i="1"/>
  <c r="K237" i="1"/>
  <c r="J237" i="1"/>
  <c r="I237" i="1"/>
  <c r="K236" i="1"/>
  <c r="J236" i="1"/>
  <c r="I236" i="1"/>
  <c r="K235" i="1"/>
  <c r="J235" i="1"/>
  <c r="I235" i="1"/>
  <c r="K234" i="1"/>
  <c r="J234" i="1"/>
  <c r="I234" i="1"/>
  <c r="K233" i="1"/>
  <c r="J233" i="1"/>
  <c r="I233" i="1"/>
  <c r="K232" i="1"/>
  <c r="J232" i="1"/>
  <c r="I232" i="1"/>
  <c r="K231" i="1"/>
  <c r="J231" i="1"/>
  <c r="I231" i="1"/>
  <c r="K230" i="1"/>
  <c r="J230" i="1"/>
  <c r="I230" i="1"/>
  <c r="K229" i="1"/>
  <c r="J229" i="1"/>
  <c r="I229" i="1"/>
  <c r="K228" i="1"/>
  <c r="J228" i="1"/>
  <c r="I228" i="1"/>
  <c r="K227" i="1"/>
  <c r="J227" i="1"/>
  <c r="I227" i="1"/>
  <c r="K226" i="1"/>
  <c r="J226" i="1"/>
  <c r="I226" i="1"/>
  <c r="K225" i="1"/>
  <c r="J225" i="1"/>
  <c r="I225" i="1"/>
  <c r="K224" i="1"/>
  <c r="J224" i="1"/>
  <c r="I224" i="1"/>
  <c r="K223" i="1"/>
  <c r="J223" i="1"/>
  <c r="I223" i="1"/>
  <c r="K222" i="1"/>
  <c r="J222" i="1"/>
  <c r="I222" i="1"/>
  <c r="K221" i="1"/>
  <c r="J221" i="1"/>
  <c r="I221" i="1"/>
  <c r="K220" i="1"/>
  <c r="J220" i="1"/>
  <c r="I220" i="1"/>
  <c r="K219" i="1"/>
  <c r="J219" i="1"/>
  <c r="I219" i="1"/>
  <c r="K218" i="1"/>
  <c r="J218" i="1"/>
  <c r="I218" i="1"/>
  <c r="K217" i="1"/>
  <c r="J217" i="1"/>
  <c r="I217" i="1"/>
  <c r="K216" i="1"/>
  <c r="J216" i="1"/>
  <c r="I216" i="1"/>
  <c r="K215" i="1"/>
  <c r="J215" i="1"/>
  <c r="I215" i="1"/>
  <c r="K214" i="1"/>
  <c r="J214" i="1"/>
  <c r="I214" i="1"/>
  <c r="K213" i="1"/>
  <c r="J213" i="1"/>
  <c r="I213" i="1"/>
  <c r="K212" i="1"/>
  <c r="J212" i="1"/>
  <c r="I212" i="1"/>
  <c r="K211" i="1"/>
  <c r="J211" i="1"/>
  <c r="I211" i="1"/>
  <c r="K210" i="1"/>
  <c r="J210" i="1"/>
  <c r="I210" i="1"/>
  <c r="K209" i="1"/>
  <c r="J209" i="1"/>
  <c r="I209" i="1"/>
  <c r="K208" i="1"/>
  <c r="J208" i="1"/>
  <c r="I208" i="1"/>
  <c r="K207" i="1"/>
  <c r="J207" i="1"/>
  <c r="I207" i="1"/>
  <c r="K206" i="1"/>
  <c r="J206" i="1"/>
  <c r="I206" i="1"/>
  <c r="K205" i="1"/>
  <c r="J205" i="1"/>
  <c r="I205" i="1"/>
  <c r="K204" i="1"/>
  <c r="J204" i="1"/>
  <c r="I204" i="1"/>
  <c r="K203" i="1"/>
  <c r="J203" i="1"/>
  <c r="I203" i="1"/>
  <c r="K202" i="1"/>
  <c r="J202" i="1"/>
  <c r="I202" i="1"/>
  <c r="K201" i="1"/>
  <c r="J201" i="1"/>
  <c r="I201" i="1"/>
  <c r="K200" i="1"/>
  <c r="J200" i="1"/>
  <c r="I200" i="1"/>
  <c r="K199" i="1"/>
  <c r="J199" i="1"/>
  <c r="I199" i="1"/>
  <c r="K198" i="1"/>
  <c r="J198" i="1"/>
  <c r="I198" i="1"/>
  <c r="K197" i="1"/>
  <c r="J197" i="1"/>
  <c r="I197" i="1"/>
  <c r="K196" i="1"/>
  <c r="J196" i="1"/>
  <c r="I196" i="1"/>
  <c r="K195" i="1"/>
  <c r="J195" i="1"/>
  <c r="I195" i="1"/>
  <c r="K194" i="1"/>
  <c r="J194" i="1"/>
  <c r="I194" i="1"/>
  <c r="K193" i="1"/>
  <c r="J193" i="1"/>
  <c r="I193" i="1"/>
  <c r="K192" i="1"/>
  <c r="J192" i="1"/>
  <c r="I192" i="1"/>
  <c r="K191" i="1"/>
  <c r="J191" i="1"/>
  <c r="I191" i="1"/>
  <c r="K190" i="1"/>
  <c r="J190" i="1"/>
  <c r="I190" i="1"/>
  <c r="K189" i="1"/>
  <c r="J189" i="1"/>
  <c r="I189" i="1"/>
  <c r="K188" i="1"/>
  <c r="J188" i="1"/>
  <c r="I188" i="1"/>
  <c r="K187" i="1"/>
  <c r="J187" i="1"/>
  <c r="I187" i="1"/>
  <c r="K186" i="1"/>
  <c r="J186" i="1"/>
  <c r="I186" i="1"/>
  <c r="K185" i="1"/>
  <c r="J185" i="1"/>
  <c r="I185" i="1"/>
  <c r="K184" i="1"/>
  <c r="J184" i="1"/>
  <c r="I184" i="1"/>
  <c r="K183" i="1"/>
  <c r="J183" i="1"/>
  <c r="I183" i="1"/>
  <c r="K182" i="1"/>
  <c r="J182" i="1"/>
  <c r="I182" i="1"/>
  <c r="K181" i="1"/>
  <c r="J181" i="1"/>
  <c r="I181" i="1"/>
  <c r="K180" i="1"/>
  <c r="J180" i="1"/>
  <c r="I180" i="1"/>
  <c r="K179" i="1"/>
  <c r="J179" i="1"/>
  <c r="I179" i="1"/>
  <c r="K178" i="1"/>
  <c r="J178" i="1"/>
  <c r="I178" i="1"/>
  <c r="K177" i="1"/>
  <c r="J177" i="1"/>
  <c r="I177" i="1"/>
  <c r="K176" i="1"/>
  <c r="J176" i="1"/>
  <c r="I176" i="1"/>
  <c r="K175" i="1"/>
  <c r="J175" i="1"/>
  <c r="I175" i="1"/>
  <c r="K174" i="1"/>
  <c r="J174" i="1"/>
  <c r="I174" i="1"/>
  <c r="K173" i="1"/>
  <c r="J173" i="1"/>
  <c r="I173" i="1"/>
  <c r="K172" i="1"/>
  <c r="J172" i="1"/>
  <c r="I172" i="1"/>
  <c r="K171" i="1"/>
  <c r="J171" i="1"/>
  <c r="I171" i="1"/>
  <c r="K170" i="1"/>
  <c r="J170" i="1"/>
  <c r="I170" i="1"/>
  <c r="K169" i="1"/>
  <c r="J169" i="1"/>
  <c r="I169" i="1"/>
  <c r="K168" i="1"/>
  <c r="J168" i="1"/>
  <c r="I168" i="1"/>
  <c r="K167" i="1"/>
  <c r="J167" i="1"/>
  <c r="I167" i="1"/>
  <c r="K166" i="1"/>
  <c r="J166" i="1"/>
  <c r="I166" i="1"/>
  <c r="K165" i="1"/>
  <c r="J165" i="1"/>
  <c r="I165" i="1"/>
  <c r="K164" i="1"/>
  <c r="J164" i="1"/>
  <c r="I164" i="1"/>
  <c r="K163" i="1"/>
  <c r="J163" i="1"/>
  <c r="I163" i="1"/>
  <c r="K162" i="1"/>
  <c r="J162" i="1"/>
  <c r="I162" i="1"/>
  <c r="K161" i="1"/>
  <c r="J161" i="1"/>
  <c r="I161" i="1"/>
  <c r="K160" i="1"/>
  <c r="J160" i="1"/>
  <c r="I160" i="1"/>
  <c r="K159" i="1"/>
  <c r="J159" i="1"/>
  <c r="I159" i="1"/>
  <c r="K158" i="1"/>
  <c r="J158" i="1"/>
  <c r="I158" i="1"/>
  <c r="K157" i="1"/>
  <c r="J157" i="1"/>
  <c r="I157" i="1"/>
  <c r="K156" i="1"/>
  <c r="J156" i="1"/>
  <c r="I156" i="1"/>
  <c r="K155" i="1"/>
  <c r="J155" i="1"/>
  <c r="I155" i="1"/>
  <c r="K154" i="1"/>
  <c r="J154" i="1"/>
  <c r="I154" i="1"/>
  <c r="K153" i="1"/>
  <c r="J153" i="1"/>
  <c r="I153" i="1"/>
  <c r="K152" i="1"/>
  <c r="J152" i="1"/>
  <c r="I152" i="1"/>
  <c r="K151" i="1"/>
  <c r="J151" i="1"/>
  <c r="I151" i="1"/>
  <c r="K150" i="1"/>
  <c r="J150" i="1"/>
  <c r="I150" i="1"/>
  <c r="K149" i="1"/>
  <c r="J149" i="1"/>
  <c r="I149" i="1"/>
  <c r="K148" i="1"/>
  <c r="J148" i="1"/>
  <c r="I148" i="1"/>
  <c r="K147" i="1"/>
  <c r="J147" i="1"/>
  <c r="I147" i="1"/>
  <c r="K146" i="1"/>
  <c r="J146" i="1"/>
  <c r="I146" i="1"/>
  <c r="K145" i="1"/>
  <c r="J145" i="1"/>
  <c r="I145" i="1"/>
  <c r="K144" i="1"/>
  <c r="J144" i="1"/>
  <c r="I144" i="1"/>
  <c r="K143" i="1"/>
  <c r="J143" i="1"/>
  <c r="I143" i="1"/>
  <c r="K142" i="1"/>
  <c r="J142" i="1"/>
  <c r="I142" i="1"/>
  <c r="K141" i="1"/>
  <c r="J141" i="1"/>
  <c r="I141" i="1"/>
  <c r="K140" i="1"/>
  <c r="J140" i="1"/>
  <c r="I140" i="1"/>
  <c r="K139" i="1"/>
  <c r="J139" i="1"/>
  <c r="I139" i="1"/>
  <c r="K138" i="1"/>
  <c r="J138" i="1"/>
  <c r="I138" i="1"/>
  <c r="K137" i="1"/>
  <c r="J137" i="1"/>
  <c r="I137" i="1"/>
  <c r="K136" i="1"/>
  <c r="J136" i="1"/>
  <c r="I136" i="1"/>
  <c r="K135" i="1"/>
  <c r="J135" i="1"/>
  <c r="I135" i="1"/>
  <c r="K134" i="1"/>
  <c r="J134" i="1"/>
  <c r="I134" i="1"/>
  <c r="K133" i="1"/>
  <c r="J133" i="1"/>
  <c r="I133" i="1"/>
  <c r="K132" i="1"/>
  <c r="J132" i="1"/>
  <c r="I132" i="1"/>
  <c r="K131" i="1"/>
  <c r="J131" i="1"/>
  <c r="I131" i="1"/>
  <c r="K130" i="1"/>
  <c r="J130" i="1"/>
  <c r="I130" i="1"/>
  <c r="K129" i="1"/>
  <c r="J129" i="1"/>
  <c r="I129" i="1"/>
  <c r="K128" i="1"/>
  <c r="J128" i="1"/>
  <c r="I128" i="1"/>
  <c r="K127" i="1"/>
  <c r="J127" i="1"/>
  <c r="I127" i="1"/>
  <c r="K126" i="1"/>
  <c r="J126" i="1"/>
  <c r="I126" i="1"/>
  <c r="K125" i="1"/>
  <c r="J125" i="1"/>
  <c r="I125" i="1"/>
  <c r="K124" i="1"/>
  <c r="J124" i="1"/>
  <c r="I124" i="1"/>
  <c r="K123" i="1"/>
  <c r="J123" i="1"/>
  <c r="I123" i="1"/>
  <c r="K122" i="1"/>
  <c r="J122" i="1"/>
  <c r="I122" i="1"/>
  <c r="K121" i="1"/>
  <c r="J121" i="1"/>
  <c r="I121" i="1"/>
  <c r="K120" i="1"/>
  <c r="J120" i="1"/>
  <c r="I120" i="1"/>
  <c r="K119" i="1"/>
  <c r="J119" i="1"/>
  <c r="I119" i="1"/>
  <c r="K118" i="1"/>
  <c r="J118" i="1"/>
  <c r="I118" i="1"/>
  <c r="K117" i="1"/>
  <c r="J117" i="1"/>
  <c r="I117" i="1"/>
  <c r="K116" i="1"/>
  <c r="J116" i="1"/>
  <c r="I116" i="1"/>
  <c r="K115" i="1"/>
  <c r="J115" i="1"/>
  <c r="I115" i="1"/>
  <c r="K114" i="1"/>
  <c r="J114" i="1"/>
  <c r="I114" i="1"/>
  <c r="K113" i="1"/>
  <c r="J113" i="1"/>
  <c r="I113" i="1"/>
  <c r="K112" i="1"/>
  <c r="J112" i="1"/>
  <c r="I112" i="1"/>
  <c r="K111" i="1"/>
  <c r="J111" i="1"/>
  <c r="I111" i="1"/>
  <c r="K110" i="1"/>
  <c r="J110" i="1"/>
  <c r="I110" i="1"/>
  <c r="K109" i="1"/>
  <c r="J109" i="1"/>
  <c r="I109" i="1"/>
  <c r="K108" i="1"/>
  <c r="J108" i="1"/>
  <c r="I108" i="1"/>
  <c r="K107" i="1"/>
  <c r="J107" i="1"/>
  <c r="I107" i="1"/>
  <c r="K106" i="1"/>
  <c r="J106" i="1"/>
  <c r="I106" i="1"/>
  <c r="K105" i="1"/>
  <c r="J105" i="1"/>
  <c r="I105" i="1"/>
  <c r="K104" i="1"/>
  <c r="J104" i="1"/>
  <c r="I104" i="1"/>
  <c r="K103" i="1"/>
  <c r="J103" i="1"/>
  <c r="I103" i="1"/>
  <c r="K102" i="1"/>
  <c r="J102" i="1"/>
  <c r="I102" i="1"/>
  <c r="K101" i="1"/>
  <c r="J101" i="1"/>
  <c r="I101" i="1"/>
  <c r="K100" i="1"/>
  <c r="J100" i="1"/>
  <c r="I100" i="1"/>
  <c r="K99" i="1"/>
  <c r="J99" i="1"/>
  <c r="I99" i="1"/>
  <c r="K98" i="1"/>
  <c r="J98" i="1"/>
  <c r="I98" i="1"/>
  <c r="K97" i="1"/>
  <c r="J97" i="1"/>
  <c r="I97" i="1"/>
  <c r="K96" i="1"/>
  <c r="J96" i="1"/>
  <c r="I96" i="1"/>
  <c r="K95" i="1"/>
  <c r="J95" i="1"/>
  <c r="I95" i="1"/>
  <c r="K94" i="1"/>
  <c r="J94" i="1"/>
  <c r="I94" i="1"/>
  <c r="K93" i="1"/>
  <c r="J93" i="1"/>
  <c r="I93" i="1"/>
  <c r="K92" i="1"/>
  <c r="J92" i="1"/>
  <c r="I92" i="1"/>
  <c r="K91" i="1"/>
  <c r="J91" i="1"/>
  <c r="I91" i="1"/>
  <c r="K90" i="1"/>
  <c r="J90" i="1"/>
  <c r="I90" i="1"/>
  <c r="K89" i="1"/>
  <c r="J89" i="1"/>
  <c r="I89" i="1"/>
  <c r="K88" i="1"/>
  <c r="J88" i="1"/>
  <c r="I88" i="1"/>
  <c r="K87" i="1"/>
  <c r="J87" i="1"/>
  <c r="I87" i="1"/>
  <c r="K86" i="1"/>
  <c r="J86" i="1"/>
  <c r="I86" i="1"/>
  <c r="K85" i="1"/>
  <c r="J85" i="1"/>
  <c r="I85" i="1"/>
  <c r="K84" i="1"/>
  <c r="J84" i="1"/>
  <c r="I84" i="1"/>
  <c r="K83" i="1"/>
  <c r="J83" i="1"/>
  <c r="I83" i="1"/>
  <c r="K82" i="1"/>
  <c r="J82" i="1"/>
  <c r="I82" i="1"/>
  <c r="K81" i="1"/>
  <c r="J81" i="1"/>
  <c r="I81" i="1"/>
  <c r="K80" i="1"/>
  <c r="J80" i="1"/>
  <c r="I80" i="1"/>
  <c r="K79" i="1"/>
  <c r="J79" i="1"/>
  <c r="I79" i="1"/>
  <c r="K78" i="1"/>
  <c r="J78" i="1"/>
  <c r="I78" i="1"/>
  <c r="K77" i="1"/>
  <c r="J77" i="1"/>
  <c r="I77" i="1"/>
  <c r="K76" i="1"/>
  <c r="J76" i="1"/>
  <c r="I76" i="1"/>
  <c r="K75" i="1"/>
  <c r="J75" i="1"/>
  <c r="I75" i="1"/>
  <c r="K74" i="1"/>
  <c r="J74" i="1"/>
  <c r="I74" i="1"/>
  <c r="K73" i="1"/>
  <c r="J73" i="1"/>
  <c r="I73" i="1"/>
  <c r="K72" i="1"/>
  <c r="J72" i="1"/>
  <c r="I72" i="1"/>
  <c r="K71" i="1"/>
  <c r="J71" i="1"/>
  <c r="I71" i="1"/>
  <c r="K70" i="1"/>
  <c r="J70" i="1"/>
  <c r="I70" i="1"/>
  <c r="K69" i="1"/>
  <c r="J69" i="1"/>
  <c r="I69" i="1"/>
  <c r="K68" i="1"/>
  <c r="J68" i="1"/>
  <c r="I68" i="1"/>
  <c r="K67" i="1"/>
  <c r="J67" i="1"/>
  <c r="I67" i="1"/>
  <c r="K66" i="1"/>
  <c r="J66" i="1"/>
  <c r="I66" i="1"/>
  <c r="K65" i="1"/>
  <c r="J65" i="1"/>
  <c r="I65" i="1"/>
  <c r="K64" i="1"/>
  <c r="J64" i="1"/>
  <c r="I64" i="1"/>
  <c r="K63" i="1"/>
  <c r="J63" i="1"/>
  <c r="I63" i="1"/>
  <c r="K62" i="1"/>
  <c r="J62" i="1"/>
  <c r="I62" i="1"/>
  <c r="K61" i="1"/>
  <c r="J61" i="1"/>
  <c r="I61" i="1"/>
  <c r="K60" i="1"/>
  <c r="J60" i="1"/>
  <c r="I60" i="1"/>
  <c r="K59" i="1"/>
  <c r="J59" i="1"/>
  <c r="I59" i="1"/>
  <c r="K58" i="1"/>
  <c r="J58" i="1"/>
  <c r="I58" i="1"/>
  <c r="K57" i="1"/>
  <c r="J57" i="1"/>
  <c r="I57" i="1"/>
  <c r="K56" i="1"/>
  <c r="J56" i="1"/>
  <c r="I56" i="1"/>
  <c r="K55" i="1"/>
  <c r="J55" i="1"/>
  <c r="I55" i="1"/>
  <c r="K54" i="1"/>
  <c r="J54" i="1"/>
  <c r="I54" i="1"/>
  <c r="K53" i="1"/>
  <c r="J53" i="1"/>
  <c r="I53" i="1"/>
  <c r="K52" i="1"/>
  <c r="J52" i="1"/>
  <c r="I52" i="1"/>
  <c r="K51" i="1"/>
  <c r="J51" i="1"/>
  <c r="I51" i="1"/>
  <c r="K50" i="1"/>
  <c r="J50" i="1"/>
  <c r="I50" i="1"/>
  <c r="K49" i="1"/>
  <c r="J49" i="1"/>
  <c r="I49" i="1"/>
  <c r="K48" i="1"/>
  <c r="J48" i="1"/>
  <c r="I48" i="1"/>
  <c r="K47" i="1"/>
  <c r="J47" i="1"/>
  <c r="I47" i="1"/>
  <c r="K46" i="1"/>
  <c r="J46" i="1"/>
  <c r="I46" i="1"/>
  <c r="K45" i="1"/>
  <c r="J45" i="1"/>
  <c r="I45" i="1"/>
  <c r="K44" i="1"/>
  <c r="J44" i="1"/>
  <c r="I44" i="1"/>
  <c r="K43" i="1"/>
  <c r="J43" i="1"/>
  <c r="I43" i="1"/>
  <c r="K42" i="1"/>
  <c r="J42" i="1"/>
  <c r="I42" i="1"/>
  <c r="K41" i="1"/>
  <c r="J41" i="1"/>
  <c r="I41" i="1"/>
  <c r="K40" i="1"/>
  <c r="J40" i="1"/>
  <c r="I40" i="1"/>
  <c r="K39" i="1"/>
  <c r="J39" i="1"/>
  <c r="I39" i="1"/>
  <c r="K38" i="1"/>
  <c r="J38" i="1"/>
  <c r="I38" i="1"/>
  <c r="K37" i="1"/>
  <c r="J37" i="1"/>
  <c r="I37" i="1"/>
  <c r="K36" i="1"/>
  <c r="J36" i="1"/>
  <c r="I36" i="1"/>
  <c r="K35" i="1"/>
  <c r="J35" i="1"/>
  <c r="I35" i="1"/>
  <c r="K34" i="1"/>
  <c r="J34" i="1"/>
  <c r="I34" i="1"/>
  <c r="K33" i="1"/>
  <c r="J33" i="1"/>
  <c r="I33" i="1"/>
  <c r="K32" i="1"/>
  <c r="J32" i="1"/>
  <c r="I32" i="1"/>
  <c r="K31" i="1"/>
  <c r="J31" i="1"/>
  <c r="I31" i="1"/>
  <c r="K30" i="1"/>
  <c r="J30" i="1"/>
  <c r="I30" i="1"/>
  <c r="K29" i="1"/>
  <c r="J29" i="1"/>
  <c r="I29" i="1"/>
  <c r="K28" i="1"/>
  <c r="J28" i="1"/>
  <c r="I28" i="1"/>
  <c r="K27" i="1"/>
  <c r="J27" i="1"/>
  <c r="I27" i="1"/>
  <c r="K26" i="1"/>
  <c r="J26" i="1"/>
  <c r="I26" i="1"/>
  <c r="K25" i="1"/>
  <c r="J25" i="1"/>
  <c r="I25" i="1"/>
  <c r="K24" i="1"/>
  <c r="J24" i="1"/>
  <c r="I24" i="1"/>
  <c r="K23" i="1"/>
  <c r="J23" i="1"/>
  <c r="I23" i="1"/>
  <c r="K22" i="1"/>
  <c r="J22" i="1"/>
  <c r="I22" i="1"/>
  <c r="K21" i="1"/>
  <c r="J21" i="1"/>
  <c r="I21" i="1"/>
  <c r="K20" i="1"/>
  <c r="J20" i="1"/>
  <c r="I20" i="1"/>
  <c r="K19" i="1"/>
  <c r="J19" i="1"/>
  <c r="I19" i="1"/>
  <c r="K18" i="1"/>
  <c r="J18" i="1"/>
  <c r="I18" i="1"/>
  <c r="K17" i="1"/>
  <c r="J17" i="1"/>
  <c r="I17" i="1"/>
  <c r="K16" i="1"/>
  <c r="J16" i="1"/>
  <c r="I16" i="1"/>
  <c r="K15" i="1"/>
  <c r="J15" i="1"/>
  <c r="I15" i="1"/>
  <c r="K14" i="1"/>
  <c r="J14" i="1"/>
  <c r="I14" i="1"/>
  <c r="K13" i="1"/>
  <c r="J13" i="1"/>
  <c r="I13" i="1"/>
  <c r="K12" i="1"/>
  <c r="J12" i="1"/>
  <c r="I12" i="1"/>
  <c r="K11" i="1"/>
  <c r="J11" i="1"/>
  <c r="I11" i="1"/>
  <c r="K10" i="1"/>
  <c r="J10" i="1"/>
  <c r="I10" i="1"/>
  <c r="K9" i="1"/>
  <c r="J9" i="1"/>
  <c r="I9" i="1"/>
  <c r="K8" i="1"/>
  <c r="J8" i="1"/>
  <c r="I8" i="1"/>
  <c r="K7" i="1"/>
  <c r="J7" i="1"/>
  <c r="I7" i="1"/>
  <c r="K6" i="1"/>
  <c r="J6" i="1"/>
  <c r="I6" i="1"/>
  <c r="K5" i="1"/>
  <c r="J5" i="1"/>
  <c r="I5" i="1"/>
  <c r="K4" i="1"/>
  <c r="J4" i="1"/>
  <c r="I4" i="1"/>
  <c r="K3" i="1"/>
  <c r="J3" i="1"/>
  <c r="I3" i="1"/>
  <c r="K2" i="1"/>
  <c r="J2" i="1"/>
  <c r="I2" i="1"/>
</calcChain>
</file>

<file path=xl/sharedStrings.xml><?xml version="1.0" encoding="utf-8"?>
<sst xmlns="http://schemas.openxmlformats.org/spreadsheetml/2006/main" count="4508" uniqueCount="923">
  <si>
    <t>sample_id</t>
  </si>
  <si>
    <t>year</t>
  </si>
  <si>
    <t>country_des</t>
  </si>
  <si>
    <t>elevation</t>
  </si>
  <si>
    <t>lat_central</t>
  </si>
  <si>
    <t>lon_central</t>
  </si>
  <si>
    <t>link_landsat_time_series</t>
  </si>
  <si>
    <t>link_landsat_chips</t>
  </si>
  <si>
    <t>link_wayback</t>
  </si>
  <si>
    <t>LC1</t>
  </si>
  <si>
    <t>DR</t>
  </si>
  <si>
    <t>developed</t>
  </si>
  <si>
    <t>LC2</t>
  </si>
  <si>
    <t>shrub/grass</t>
  </si>
  <si>
    <t>LC3</t>
  </si>
  <si>
    <t>water</t>
  </si>
  <si>
    <t>LC4</t>
  </si>
  <si>
    <t>LC5</t>
  </si>
  <si>
    <t>primary dry forest</t>
  </si>
  <si>
    <t>LC6</t>
  </si>
  <si>
    <t>Haiti</t>
  </si>
  <si>
    <t>secondary forest</t>
  </si>
  <si>
    <t>LC7</t>
  </si>
  <si>
    <t>LC8</t>
  </si>
  <si>
    <t>wetland</t>
  </si>
  <si>
    <t>LC9</t>
  </si>
  <si>
    <t>LC10</t>
  </si>
  <si>
    <t>LC11</t>
  </si>
  <si>
    <t>LC12</t>
  </si>
  <si>
    <t>LC13</t>
  </si>
  <si>
    <t>LC14</t>
  </si>
  <si>
    <t>LC15</t>
  </si>
  <si>
    <t>LC16</t>
  </si>
  <si>
    <t>LC17</t>
  </si>
  <si>
    <t>LC18</t>
  </si>
  <si>
    <t>LC19</t>
  </si>
  <si>
    <t>LC20</t>
  </si>
  <si>
    <t>LC21</t>
  </si>
  <si>
    <t>primary wet forest</t>
  </si>
  <si>
    <t>LC22</t>
  </si>
  <si>
    <t>LC23</t>
  </si>
  <si>
    <t>LC24</t>
  </si>
  <si>
    <t>LC25</t>
  </si>
  <si>
    <t>LC26</t>
  </si>
  <si>
    <t>LC27</t>
  </si>
  <si>
    <t>LC28</t>
  </si>
  <si>
    <t>LC29</t>
  </si>
  <si>
    <t>LC30</t>
  </si>
  <si>
    <t>LC31</t>
  </si>
  <si>
    <t>LC32</t>
  </si>
  <si>
    <t>LC33</t>
  </si>
  <si>
    <t>LC34</t>
  </si>
  <si>
    <t>LC35</t>
  </si>
  <si>
    <t>LC36</t>
  </si>
  <si>
    <t>LC37</t>
  </si>
  <si>
    <t>LC38</t>
  </si>
  <si>
    <t>LC39</t>
  </si>
  <si>
    <t>LC40</t>
  </si>
  <si>
    <t>LC41</t>
  </si>
  <si>
    <t>LC42</t>
  </si>
  <si>
    <t>LC43</t>
  </si>
  <si>
    <t>LC44</t>
  </si>
  <si>
    <t>LC45</t>
  </si>
  <si>
    <t>LC46</t>
  </si>
  <si>
    <t>LC47</t>
  </si>
  <si>
    <t>LC48</t>
  </si>
  <si>
    <t>LC49</t>
  </si>
  <si>
    <t>LC50</t>
  </si>
  <si>
    <t>LC51</t>
  </si>
  <si>
    <t>LC52</t>
  </si>
  <si>
    <t>LC53</t>
  </si>
  <si>
    <t>LC54</t>
  </si>
  <si>
    <t>LC55</t>
  </si>
  <si>
    <t>LC56</t>
  </si>
  <si>
    <t>LC57</t>
  </si>
  <si>
    <t>LC58</t>
  </si>
  <si>
    <t>LC59</t>
  </si>
  <si>
    <t>LC60</t>
  </si>
  <si>
    <t>LC61</t>
  </si>
  <si>
    <t>LC62</t>
  </si>
  <si>
    <t>LC63</t>
  </si>
  <si>
    <t>LC64</t>
  </si>
  <si>
    <t>LC65</t>
  </si>
  <si>
    <t>LC66</t>
  </si>
  <si>
    <t>LC67</t>
  </si>
  <si>
    <t>LC68</t>
  </si>
  <si>
    <t>LC69</t>
  </si>
  <si>
    <t>LC70</t>
  </si>
  <si>
    <t>LC71</t>
  </si>
  <si>
    <t>LC72</t>
  </si>
  <si>
    <t>LC73</t>
  </si>
  <si>
    <t>LC74</t>
  </si>
  <si>
    <t>LC75</t>
  </si>
  <si>
    <t>LC76</t>
  </si>
  <si>
    <t>LC77</t>
  </si>
  <si>
    <t>LC78</t>
  </si>
  <si>
    <t>LC79</t>
  </si>
  <si>
    <t>LC80</t>
  </si>
  <si>
    <t>LC81</t>
  </si>
  <si>
    <t>LC82</t>
  </si>
  <si>
    <t>LC83</t>
  </si>
  <si>
    <t>LC84</t>
  </si>
  <si>
    <t>LC85</t>
  </si>
  <si>
    <t>LC86</t>
  </si>
  <si>
    <t>LC87</t>
  </si>
  <si>
    <t>LC88</t>
  </si>
  <si>
    <t>LC89</t>
  </si>
  <si>
    <t>LC90</t>
  </si>
  <si>
    <t>LC91</t>
  </si>
  <si>
    <t>LC92</t>
  </si>
  <si>
    <t>LC93</t>
  </si>
  <si>
    <t>LC94</t>
  </si>
  <si>
    <t>LC95</t>
  </si>
  <si>
    <t>LC96</t>
  </si>
  <si>
    <t>LC97</t>
  </si>
  <si>
    <t>LC98</t>
  </si>
  <si>
    <t>LC99</t>
  </si>
  <si>
    <t>LC100</t>
  </si>
  <si>
    <t>LC101</t>
  </si>
  <si>
    <t>LC102</t>
  </si>
  <si>
    <t>LC103</t>
  </si>
  <si>
    <t>LC104</t>
  </si>
  <si>
    <t>LC105</t>
  </si>
  <si>
    <t>LC106</t>
  </si>
  <si>
    <t>LC107</t>
  </si>
  <si>
    <t>LC108</t>
  </si>
  <si>
    <t>LC109</t>
  </si>
  <si>
    <t>LC110</t>
  </si>
  <si>
    <t>LC111</t>
  </si>
  <si>
    <t>LC112</t>
  </si>
  <si>
    <t>LC113</t>
  </si>
  <si>
    <t>LC114</t>
  </si>
  <si>
    <t>LC115</t>
  </si>
  <si>
    <t>LC116</t>
  </si>
  <si>
    <t>LC117</t>
  </si>
  <si>
    <t>LC118</t>
  </si>
  <si>
    <t>LC119</t>
  </si>
  <si>
    <t>LC120</t>
  </si>
  <si>
    <t>LC121</t>
  </si>
  <si>
    <t>LC122</t>
  </si>
  <si>
    <t>LC123</t>
  </si>
  <si>
    <t>LC124</t>
  </si>
  <si>
    <t>LC125</t>
  </si>
  <si>
    <t>LC126</t>
  </si>
  <si>
    <t>LC127</t>
  </si>
  <si>
    <t>LC128</t>
  </si>
  <si>
    <t>LC129</t>
  </si>
  <si>
    <t>LC130</t>
  </si>
  <si>
    <t>LC131</t>
  </si>
  <si>
    <t>LC132</t>
  </si>
  <si>
    <t>LC133</t>
  </si>
  <si>
    <t>LC134</t>
  </si>
  <si>
    <t>LC135</t>
  </si>
  <si>
    <t>LC136</t>
  </si>
  <si>
    <t>LC137</t>
  </si>
  <si>
    <t>LC138</t>
  </si>
  <si>
    <t>LC139</t>
  </si>
  <si>
    <t>LC140</t>
  </si>
  <si>
    <t>LC141</t>
  </si>
  <si>
    <t>LC142</t>
  </si>
  <si>
    <t>LC143</t>
  </si>
  <si>
    <t>LC144</t>
  </si>
  <si>
    <t>LC145</t>
  </si>
  <si>
    <t>LC146</t>
  </si>
  <si>
    <t>LC147</t>
  </si>
  <si>
    <t>LC148</t>
  </si>
  <si>
    <t>LC149</t>
  </si>
  <si>
    <t>LC150</t>
  </si>
  <si>
    <t>LC151</t>
  </si>
  <si>
    <t>LC152</t>
  </si>
  <si>
    <t>LC153</t>
  </si>
  <si>
    <t>LC154</t>
  </si>
  <si>
    <t>LC155</t>
  </si>
  <si>
    <t>LC156</t>
  </si>
  <si>
    <t>LC157</t>
  </si>
  <si>
    <t>LC158</t>
  </si>
  <si>
    <t>LC159</t>
  </si>
  <si>
    <t>LC160</t>
  </si>
  <si>
    <t>LC161</t>
  </si>
  <si>
    <t>LC162</t>
  </si>
  <si>
    <t>LC163</t>
  </si>
  <si>
    <t>LC164</t>
  </si>
  <si>
    <t>LC165</t>
  </si>
  <si>
    <t>LC166</t>
  </si>
  <si>
    <t>LC167</t>
  </si>
  <si>
    <t>LC168</t>
  </si>
  <si>
    <t>LC169</t>
  </si>
  <si>
    <t>LC170</t>
  </si>
  <si>
    <t>LC171</t>
  </si>
  <si>
    <t>LC172</t>
  </si>
  <si>
    <t>LC173</t>
  </si>
  <si>
    <t>LC174</t>
  </si>
  <si>
    <t>LC175</t>
  </si>
  <si>
    <t>LC176</t>
  </si>
  <si>
    <t>LC177</t>
  </si>
  <si>
    <t>LC178</t>
  </si>
  <si>
    <t>LC179</t>
  </si>
  <si>
    <t>LC180</t>
  </si>
  <si>
    <t>LC181</t>
  </si>
  <si>
    <t>LC182</t>
  </si>
  <si>
    <t>LC183</t>
  </si>
  <si>
    <t>LC184</t>
  </si>
  <si>
    <t>LC185</t>
  </si>
  <si>
    <t>LC186</t>
  </si>
  <si>
    <t>LC187</t>
  </si>
  <si>
    <t>LC188</t>
  </si>
  <si>
    <t>LC189</t>
  </si>
  <si>
    <t>LC190</t>
  </si>
  <si>
    <t>LC191</t>
  </si>
  <si>
    <t>LC192</t>
  </si>
  <si>
    <t>LC193</t>
  </si>
  <si>
    <t>LC194</t>
  </si>
  <si>
    <t>LC195</t>
  </si>
  <si>
    <t>LC196</t>
  </si>
  <si>
    <t>LC197</t>
  </si>
  <si>
    <t>LC198</t>
  </si>
  <si>
    <t>LC199</t>
  </si>
  <si>
    <t>LC200</t>
  </si>
  <si>
    <t>LC201</t>
  </si>
  <si>
    <t>LC202</t>
  </si>
  <si>
    <t>LC203</t>
  </si>
  <si>
    <t>LC204</t>
  </si>
  <si>
    <t>LC205</t>
  </si>
  <si>
    <t>LC206</t>
  </si>
  <si>
    <t>LC207</t>
  </si>
  <si>
    <t>LC208</t>
  </si>
  <si>
    <t>LC209</t>
  </si>
  <si>
    <t>LC210</t>
  </si>
  <si>
    <t>LC211</t>
  </si>
  <si>
    <t>LC212</t>
  </si>
  <si>
    <t>LC213</t>
  </si>
  <si>
    <t>LC214</t>
  </si>
  <si>
    <t>LC215</t>
  </si>
  <si>
    <t>LC216</t>
  </si>
  <si>
    <t>LC217</t>
  </si>
  <si>
    <t>LC218</t>
  </si>
  <si>
    <t>LC219</t>
  </si>
  <si>
    <t>LC220</t>
  </si>
  <si>
    <t>LC221</t>
  </si>
  <si>
    <t>LC222</t>
  </si>
  <si>
    <t>LC223</t>
  </si>
  <si>
    <t>LC224</t>
  </si>
  <si>
    <t>LC225</t>
  </si>
  <si>
    <t>LC226</t>
  </si>
  <si>
    <t>LC227</t>
  </si>
  <si>
    <t>LC228</t>
  </si>
  <si>
    <t>LC229</t>
  </si>
  <si>
    <t>LC230</t>
  </si>
  <si>
    <t>LC231</t>
  </si>
  <si>
    <t>LC232</t>
  </si>
  <si>
    <t>LC233</t>
  </si>
  <si>
    <t>LC234</t>
  </si>
  <si>
    <t>LC235</t>
  </si>
  <si>
    <t>LC236</t>
  </si>
  <si>
    <t>LC237</t>
  </si>
  <si>
    <t>LC238</t>
  </si>
  <si>
    <t>LC239</t>
  </si>
  <si>
    <t>LC240</t>
  </si>
  <si>
    <t>LC241</t>
  </si>
  <si>
    <t>LC242</t>
  </si>
  <si>
    <t>LC243</t>
  </si>
  <si>
    <t>LC244</t>
  </si>
  <si>
    <t>LC245</t>
  </si>
  <si>
    <t>LC246</t>
  </si>
  <si>
    <t>LC247</t>
  </si>
  <si>
    <t>LC248</t>
  </si>
  <si>
    <t>LC249</t>
  </si>
  <si>
    <t>LC250</t>
  </si>
  <si>
    <t>LC251</t>
  </si>
  <si>
    <t>LC252</t>
  </si>
  <si>
    <t>LC253</t>
  </si>
  <si>
    <t>LC254</t>
  </si>
  <si>
    <t>LC255</t>
  </si>
  <si>
    <t>LC256</t>
  </si>
  <si>
    <t>LC257</t>
  </si>
  <si>
    <t>LC258</t>
  </si>
  <si>
    <t>LC259</t>
  </si>
  <si>
    <t>LC260</t>
  </si>
  <si>
    <t>LC261</t>
  </si>
  <si>
    <t>LC262</t>
  </si>
  <si>
    <t>LC263</t>
  </si>
  <si>
    <t>LC264</t>
  </si>
  <si>
    <t>LC265</t>
  </si>
  <si>
    <t>LC266</t>
  </si>
  <si>
    <t>LC267</t>
  </si>
  <si>
    <t>LC268</t>
  </si>
  <si>
    <t>LC269</t>
  </si>
  <si>
    <t>LC270</t>
  </si>
  <si>
    <t>LC271</t>
  </si>
  <si>
    <t>LC272</t>
  </si>
  <si>
    <t>LC273</t>
  </si>
  <si>
    <t>LC274</t>
  </si>
  <si>
    <t>LC275</t>
  </si>
  <si>
    <t>LC276</t>
  </si>
  <si>
    <t>LC277</t>
  </si>
  <si>
    <t>LC278</t>
  </si>
  <si>
    <t>LC279</t>
  </si>
  <si>
    <t>LC280</t>
  </si>
  <si>
    <t>LC281</t>
  </si>
  <si>
    <t>LC282</t>
  </si>
  <si>
    <t>LC283</t>
  </si>
  <si>
    <t>LC284</t>
  </si>
  <si>
    <t>LC285</t>
  </si>
  <si>
    <t>LC286</t>
  </si>
  <si>
    <t>LC287</t>
  </si>
  <si>
    <t>LC288</t>
  </si>
  <si>
    <t>LC289</t>
  </si>
  <si>
    <t>LC290</t>
  </si>
  <si>
    <t>LC291</t>
  </si>
  <si>
    <t>LC292</t>
  </si>
  <si>
    <t>LC293</t>
  </si>
  <si>
    <t>LC294</t>
  </si>
  <si>
    <t>LC295</t>
  </si>
  <si>
    <t>LC296</t>
  </si>
  <si>
    <t>LC297</t>
  </si>
  <si>
    <t>LC298</t>
  </si>
  <si>
    <t>LC299</t>
  </si>
  <si>
    <t>LC300</t>
  </si>
  <si>
    <t>LC301</t>
  </si>
  <si>
    <t>LC302</t>
  </si>
  <si>
    <t>LC303</t>
  </si>
  <si>
    <t>LC304</t>
  </si>
  <si>
    <t>LC305</t>
  </si>
  <si>
    <t>LC306</t>
  </si>
  <si>
    <t>LC307</t>
  </si>
  <si>
    <t>LC308</t>
  </si>
  <si>
    <t>LC309</t>
  </si>
  <si>
    <t>LC310</t>
  </si>
  <si>
    <t>LC311</t>
  </si>
  <si>
    <t>LC312</t>
  </si>
  <si>
    <t>LC313</t>
  </si>
  <si>
    <t>LC314</t>
  </si>
  <si>
    <t>LC315</t>
  </si>
  <si>
    <t>LC316</t>
  </si>
  <si>
    <t>LC317</t>
  </si>
  <si>
    <t>LC318</t>
  </si>
  <si>
    <t>LC319</t>
  </si>
  <si>
    <t>LC320</t>
  </si>
  <si>
    <t>LC321</t>
  </si>
  <si>
    <t>LC322</t>
  </si>
  <si>
    <t>LC323</t>
  </si>
  <si>
    <t>LC324</t>
  </si>
  <si>
    <t>LC325</t>
  </si>
  <si>
    <t>LC326</t>
  </si>
  <si>
    <t>LC327</t>
  </si>
  <si>
    <t>LC328</t>
  </si>
  <si>
    <t>LC329</t>
  </si>
  <si>
    <t>LC330</t>
  </si>
  <si>
    <t>LC331</t>
  </si>
  <si>
    <t>LC332</t>
  </si>
  <si>
    <t>LC333</t>
  </si>
  <si>
    <t>LC334</t>
  </si>
  <si>
    <t>LC335</t>
  </si>
  <si>
    <t>LC336</t>
  </si>
  <si>
    <t>LC337</t>
  </si>
  <si>
    <t>LC338</t>
  </si>
  <si>
    <t>LC339</t>
  </si>
  <si>
    <t>LC340</t>
  </si>
  <si>
    <t>LC341</t>
  </si>
  <si>
    <t>LC342</t>
  </si>
  <si>
    <t>LC343</t>
  </si>
  <si>
    <t>LC344</t>
  </si>
  <si>
    <t>LC345</t>
  </si>
  <si>
    <t>LC346</t>
  </si>
  <si>
    <t>LC347</t>
  </si>
  <si>
    <t>LC348</t>
  </si>
  <si>
    <t>LC349</t>
  </si>
  <si>
    <t>LC350</t>
  </si>
  <si>
    <t>LC351</t>
  </si>
  <si>
    <t>LC352</t>
  </si>
  <si>
    <t>LC353</t>
  </si>
  <si>
    <t>LC354</t>
  </si>
  <si>
    <t>LC355</t>
  </si>
  <si>
    <t>LC356</t>
  </si>
  <si>
    <t>LC357</t>
  </si>
  <si>
    <t>LC358</t>
  </si>
  <si>
    <t>LC359</t>
  </si>
  <si>
    <t>LC360</t>
  </si>
  <si>
    <t>LC361</t>
  </si>
  <si>
    <t>LC362</t>
  </si>
  <si>
    <t>LC363</t>
  </si>
  <si>
    <t>LC364</t>
  </si>
  <si>
    <t>LC365</t>
  </si>
  <si>
    <t>LC366</t>
  </si>
  <si>
    <t>LC367</t>
  </si>
  <si>
    <t>LC368</t>
  </si>
  <si>
    <t>LC369</t>
  </si>
  <si>
    <t>LC370</t>
  </si>
  <si>
    <t>LC371</t>
  </si>
  <si>
    <t>LC372</t>
  </si>
  <si>
    <t>LC373</t>
  </si>
  <si>
    <t>LC374</t>
  </si>
  <si>
    <t>LC375</t>
  </si>
  <si>
    <t>LC376</t>
  </si>
  <si>
    <t>LC377</t>
  </si>
  <si>
    <t>LC378</t>
  </si>
  <si>
    <t>LC379</t>
  </si>
  <si>
    <t>LC380</t>
  </si>
  <si>
    <t>LC381</t>
  </si>
  <si>
    <t>LC382</t>
  </si>
  <si>
    <t>LC383</t>
  </si>
  <si>
    <t>LC384</t>
  </si>
  <si>
    <t>LC385</t>
  </si>
  <si>
    <t>LC386</t>
  </si>
  <si>
    <t>LC387</t>
  </si>
  <si>
    <t>LC388</t>
  </si>
  <si>
    <t>LC389</t>
  </si>
  <si>
    <t>LC390</t>
  </si>
  <si>
    <t>LC391</t>
  </si>
  <si>
    <t>LC392</t>
  </si>
  <si>
    <t>LC393</t>
  </si>
  <si>
    <t>LC394</t>
  </si>
  <si>
    <t>LC395</t>
  </si>
  <si>
    <t>LC396</t>
  </si>
  <si>
    <t>LC397</t>
  </si>
  <si>
    <t>LC398</t>
  </si>
  <si>
    <t>LC399</t>
  </si>
  <si>
    <t>LC400</t>
  </si>
  <si>
    <t>PF loss</t>
  </si>
  <si>
    <t>Fire</t>
  </si>
  <si>
    <t>Hurricane</t>
  </si>
  <si>
    <t>Landslide</t>
  </si>
  <si>
    <t>Other</t>
  </si>
  <si>
    <t>Interpreter</t>
  </si>
  <si>
    <t>All</t>
  </si>
  <si>
    <t>Zhe</t>
  </si>
  <si>
    <t>Shi</t>
  </si>
  <si>
    <t>Ji Won</t>
  </si>
  <si>
    <t>Falu</t>
  </si>
  <si>
    <t>map_type</t>
  </si>
  <si>
    <t>Index</t>
  </si>
  <si>
    <t>final_exclude_flag</t>
  </si>
  <si>
    <t>final_lc</t>
  </si>
  <si>
    <t>PF1</t>
  </si>
  <si>
    <t>PF2</t>
  </si>
  <si>
    <t>PF3</t>
  </si>
  <si>
    <t>PF4</t>
  </si>
  <si>
    <t>PF5</t>
  </si>
  <si>
    <t>PF6</t>
  </si>
  <si>
    <t>PF7</t>
  </si>
  <si>
    <t>PF8</t>
  </si>
  <si>
    <t>PF9</t>
  </si>
  <si>
    <t>PF10</t>
  </si>
  <si>
    <t>PF11</t>
  </si>
  <si>
    <t>PF12</t>
  </si>
  <si>
    <t>PF13</t>
  </si>
  <si>
    <t>PF14</t>
  </si>
  <si>
    <t>PF15</t>
  </si>
  <si>
    <t>PF16</t>
  </si>
  <si>
    <t>PF17</t>
  </si>
  <si>
    <t>PF18</t>
  </si>
  <si>
    <t>PF19</t>
  </si>
  <si>
    <t>PF20</t>
  </si>
  <si>
    <t>PF21</t>
  </si>
  <si>
    <t>PF22</t>
  </si>
  <si>
    <t>PF23</t>
  </si>
  <si>
    <t>PF24</t>
  </si>
  <si>
    <t>PF25</t>
  </si>
  <si>
    <t>PF26</t>
  </si>
  <si>
    <t>PF27</t>
  </si>
  <si>
    <t>PF28</t>
  </si>
  <si>
    <t>PF29</t>
  </si>
  <si>
    <t>PF30</t>
  </si>
  <si>
    <t>PF31</t>
  </si>
  <si>
    <t>PF32</t>
  </si>
  <si>
    <t>PF33</t>
  </si>
  <si>
    <t>PF34</t>
  </si>
  <si>
    <t>PF35</t>
  </si>
  <si>
    <t>PF36</t>
  </si>
  <si>
    <t>PF37</t>
  </si>
  <si>
    <t>PF38</t>
  </si>
  <si>
    <t>PF39</t>
  </si>
  <si>
    <t>PF40</t>
  </si>
  <si>
    <t>PF41</t>
  </si>
  <si>
    <t>PF42</t>
  </si>
  <si>
    <t>PF43</t>
  </si>
  <si>
    <t>PF44</t>
  </si>
  <si>
    <t>PF45</t>
  </si>
  <si>
    <t>PF46</t>
  </si>
  <si>
    <t>PF47</t>
  </si>
  <si>
    <t>PF48</t>
  </si>
  <si>
    <t>PF49</t>
  </si>
  <si>
    <t>PF50</t>
  </si>
  <si>
    <t>PF51</t>
  </si>
  <si>
    <t>PF52</t>
  </si>
  <si>
    <t>PF53</t>
  </si>
  <si>
    <t>PF54</t>
  </si>
  <si>
    <t>PF55</t>
  </si>
  <si>
    <t>PF56</t>
  </si>
  <si>
    <t>PF57</t>
  </si>
  <si>
    <t>PF58</t>
  </si>
  <si>
    <t>PF59</t>
  </si>
  <si>
    <t>PF60</t>
  </si>
  <si>
    <t>PF61</t>
  </si>
  <si>
    <t>PF62</t>
  </si>
  <si>
    <t>PF63</t>
  </si>
  <si>
    <t>PF64</t>
  </si>
  <si>
    <t>PF65</t>
  </si>
  <si>
    <t>PF66</t>
  </si>
  <si>
    <t>PF67</t>
  </si>
  <si>
    <t>PF68</t>
  </si>
  <si>
    <t>PF69</t>
  </si>
  <si>
    <t>PF70</t>
  </si>
  <si>
    <t>PF71</t>
  </si>
  <si>
    <t>PF72</t>
  </si>
  <si>
    <t>PF73</t>
  </si>
  <si>
    <t>PF74</t>
  </si>
  <si>
    <t>PF75</t>
  </si>
  <si>
    <t>PF76</t>
  </si>
  <si>
    <t>PF77</t>
  </si>
  <si>
    <t>PF78</t>
  </si>
  <si>
    <t>PF79</t>
  </si>
  <si>
    <t>PF80</t>
  </si>
  <si>
    <t>PF81</t>
  </si>
  <si>
    <t>PF82</t>
  </si>
  <si>
    <t>PF83</t>
  </si>
  <si>
    <t>PF84</t>
  </si>
  <si>
    <t>PF85</t>
  </si>
  <si>
    <t>PF86</t>
  </si>
  <si>
    <t>PF87</t>
  </si>
  <si>
    <t>PF88</t>
  </si>
  <si>
    <t>PF89</t>
  </si>
  <si>
    <t>PF90</t>
  </si>
  <si>
    <t>PF91</t>
  </si>
  <si>
    <t>PF92</t>
  </si>
  <si>
    <t>PF93</t>
  </si>
  <si>
    <t>PF94</t>
  </si>
  <si>
    <t>PF95</t>
  </si>
  <si>
    <t>PF96</t>
  </si>
  <si>
    <t>PF97</t>
  </si>
  <si>
    <t>PF98</t>
  </si>
  <si>
    <t>PF99</t>
  </si>
  <si>
    <t>PF100</t>
  </si>
  <si>
    <t>PF101</t>
  </si>
  <si>
    <t>PF102</t>
  </si>
  <si>
    <t>PF103</t>
  </si>
  <si>
    <t>PF104</t>
  </si>
  <si>
    <t>PF105</t>
  </si>
  <si>
    <t>PF106</t>
  </si>
  <si>
    <t>PF107</t>
  </si>
  <si>
    <t>PF108</t>
  </si>
  <si>
    <t>PF109</t>
  </si>
  <si>
    <t>PF110</t>
  </si>
  <si>
    <t>PF111</t>
  </si>
  <si>
    <t>PF112</t>
  </si>
  <si>
    <t>PF113</t>
  </si>
  <si>
    <t>PF114</t>
  </si>
  <si>
    <t>PF115</t>
  </si>
  <si>
    <t>PF116</t>
  </si>
  <si>
    <t>PF117</t>
  </si>
  <si>
    <t>PF118</t>
  </si>
  <si>
    <t>PF119</t>
  </si>
  <si>
    <t>PF120</t>
  </si>
  <si>
    <t>PF121</t>
  </si>
  <si>
    <t>PF122</t>
  </si>
  <si>
    <t>PF123</t>
  </si>
  <si>
    <t>PF124</t>
  </si>
  <si>
    <t>PF125</t>
  </si>
  <si>
    <t>PF126</t>
  </si>
  <si>
    <t>PF127</t>
  </si>
  <si>
    <t>PF128</t>
  </si>
  <si>
    <t>PF129</t>
  </si>
  <si>
    <t>PF130</t>
  </si>
  <si>
    <t>PF131</t>
  </si>
  <si>
    <t>PF132</t>
  </si>
  <si>
    <t>PF133</t>
  </si>
  <si>
    <t>PF134</t>
  </si>
  <si>
    <t>PF135</t>
  </si>
  <si>
    <t>PF136</t>
  </si>
  <si>
    <t>PF137</t>
  </si>
  <si>
    <t>PF138</t>
  </si>
  <si>
    <t>PF139</t>
  </si>
  <si>
    <t>PF140</t>
  </si>
  <si>
    <t>PF141</t>
  </si>
  <si>
    <t>PF142</t>
  </si>
  <si>
    <t>PF143</t>
  </si>
  <si>
    <t>PF144</t>
  </si>
  <si>
    <t>PF145</t>
  </si>
  <si>
    <t>PF146</t>
  </si>
  <si>
    <t>PF147</t>
  </si>
  <si>
    <t>PF148</t>
  </si>
  <si>
    <t>PF149</t>
  </si>
  <si>
    <t>PF150</t>
  </si>
  <si>
    <t>PF151</t>
  </si>
  <si>
    <t>PF152</t>
  </si>
  <si>
    <t>PF153</t>
  </si>
  <si>
    <t>PF154</t>
  </si>
  <si>
    <t>PF155</t>
  </si>
  <si>
    <t>PF156</t>
  </si>
  <si>
    <t>PF157</t>
  </si>
  <si>
    <t>PF158</t>
  </si>
  <si>
    <t>PF159</t>
  </si>
  <si>
    <t>PF160</t>
  </si>
  <si>
    <t>PF161</t>
  </si>
  <si>
    <t>PF162</t>
  </si>
  <si>
    <t>PF163</t>
  </si>
  <si>
    <t>PF164</t>
  </si>
  <si>
    <t>PF165</t>
  </si>
  <si>
    <t>PF166</t>
  </si>
  <si>
    <t>PF167</t>
  </si>
  <si>
    <t>PF168</t>
  </si>
  <si>
    <t>PF169</t>
  </si>
  <si>
    <t>PF170</t>
  </si>
  <si>
    <t>PF171</t>
  </si>
  <si>
    <t>PF172</t>
  </si>
  <si>
    <t>PF173</t>
  </si>
  <si>
    <t>PF174</t>
  </si>
  <si>
    <t>PF175</t>
  </si>
  <si>
    <t>PF176</t>
  </si>
  <si>
    <t>PF177</t>
  </si>
  <si>
    <t>PF178</t>
  </si>
  <si>
    <t>PF179</t>
  </si>
  <si>
    <t>PF180</t>
  </si>
  <si>
    <t>PF181</t>
  </si>
  <si>
    <t>PF182</t>
  </si>
  <si>
    <t>PF183</t>
  </si>
  <si>
    <t>PF184</t>
  </si>
  <si>
    <t>PF185</t>
  </si>
  <si>
    <t>PF186</t>
  </si>
  <si>
    <t>PF187</t>
  </si>
  <si>
    <t>PF188</t>
  </si>
  <si>
    <t>PF189</t>
  </si>
  <si>
    <t>PF190</t>
  </si>
  <si>
    <t>PF191</t>
  </si>
  <si>
    <t>PF192</t>
  </si>
  <si>
    <t>PF193</t>
  </si>
  <si>
    <t>PF194</t>
  </si>
  <si>
    <t>PF195</t>
  </si>
  <si>
    <t>PF196</t>
  </si>
  <si>
    <t>PF197</t>
  </si>
  <si>
    <t>PF198</t>
  </si>
  <si>
    <t>PF199</t>
  </si>
  <si>
    <t>PF200</t>
  </si>
  <si>
    <t>PF201</t>
  </si>
  <si>
    <t>PF202</t>
  </si>
  <si>
    <t>PF203</t>
  </si>
  <si>
    <t>PF204</t>
  </si>
  <si>
    <t>PF205</t>
  </si>
  <si>
    <t>PF206</t>
  </si>
  <si>
    <t>PF207</t>
  </si>
  <si>
    <t>PF208</t>
  </si>
  <si>
    <t>PF209</t>
  </si>
  <si>
    <t>PF210</t>
  </si>
  <si>
    <t>PF211</t>
  </si>
  <si>
    <t>PF212</t>
  </si>
  <si>
    <t>PF213</t>
  </si>
  <si>
    <t>PF214</t>
  </si>
  <si>
    <t>PF215</t>
  </si>
  <si>
    <t>PF216</t>
  </si>
  <si>
    <t>PF217</t>
  </si>
  <si>
    <t>PF218</t>
  </si>
  <si>
    <t>PF219</t>
  </si>
  <si>
    <t>PF220</t>
  </si>
  <si>
    <t>PF221</t>
  </si>
  <si>
    <t>PF222</t>
  </si>
  <si>
    <t>PF223</t>
  </si>
  <si>
    <t>PF224</t>
  </si>
  <si>
    <t>PF225</t>
  </si>
  <si>
    <t>PF226</t>
  </si>
  <si>
    <t>PF227</t>
  </si>
  <si>
    <t>PF228</t>
  </si>
  <si>
    <t>PF229</t>
  </si>
  <si>
    <t>PF230</t>
  </si>
  <si>
    <t>PF231</t>
  </si>
  <si>
    <t>PF232</t>
  </si>
  <si>
    <t>PF233</t>
  </si>
  <si>
    <t>PF234</t>
  </si>
  <si>
    <t>PF235</t>
  </si>
  <si>
    <t>PF236</t>
  </si>
  <si>
    <t>PF237</t>
  </si>
  <si>
    <t>PF238</t>
  </si>
  <si>
    <t>PF239</t>
  </si>
  <si>
    <t>PF240</t>
  </si>
  <si>
    <t>PF241</t>
  </si>
  <si>
    <t>PF242</t>
  </si>
  <si>
    <t>PF243</t>
  </si>
  <si>
    <t>PF244</t>
  </si>
  <si>
    <t>PF245</t>
  </si>
  <si>
    <t>PF246</t>
  </si>
  <si>
    <t>PF247</t>
  </si>
  <si>
    <t>PF248</t>
  </si>
  <si>
    <t>PF249</t>
  </si>
  <si>
    <t>PF250</t>
  </si>
  <si>
    <t>PF251</t>
  </si>
  <si>
    <t>PF252</t>
  </si>
  <si>
    <t>PF253</t>
  </si>
  <si>
    <t>PF254</t>
  </si>
  <si>
    <t>PF255</t>
  </si>
  <si>
    <t>PF256</t>
  </si>
  <si>
    <t>PF257</t>
  </si>
  <si>
    <t>PF258</t>
  </si>
  <si>
    <t>PF259</t>
  </si>
  <si>
    <t>PF260</t>
  </si>
  <si>
    <t>PF261</t>
  </si>
  <si>
    <t>PF262</t>
  </si>
  <si>
    <t>PF263</t>
  </si>
  <si>
    <t>PF264</t>
  </si>
  <si>
    <t>PF265</t>
  </si>
  <si>
    <t>PF266</t>
  </si>
  <si>
    <t>PF267</t>
  </si>
  <si>
    <t>PF268</t>
  </si>
  <si>
    <t>PF269</t>
  </si>
  <si>
    <t>PF270</t>
  </si>
  <si>
    <t>PF271</t>
  </si>
  <si>
    <t>PF272</t>
  </si>
  <si>
    <t>PF273</t>
  </si>
  <si>
    <t>PF274</t>
  </si>
  <si>
    <t>PF275</t>
  </si>
  <si>
    <t>PF276</t>
  </si>
  <si>
    <t>PF277</t>
  </si>
  <si>
    <t>PF278</t>
  </si>
  <si>
    <t>PF279</t>
  </si>
  <si>
    <t>PF280</t>
  </si>
  <si>
    <t>PF281</t>
  </si>
  <si>
    <t>PF282</t>
  </si>
  <si>
    <t>PF283</t>
  </si>
  <si>
    <t>PF284</t>
  </si>
  <si>
    <t>PF285</t>
  </si>
  <si>
    <t>PF286</t>
  </si>
  <si>
    <t>PF287</t>
  </si>
  <si>
    <t>PF288</t>
  </si>
  <si>
    <t>PF289</t>
  </si>
  <si>
    <t>PF290</t>
  </si>
  <si>
    <t>PF291</t>
  </si>
  <si>
    <t>PF292</t>
  </si>
  <si>
    <t>PF293</t>
  </si>
  <si>
    <t>PF294</t>
  </si>
  <si>
    <t>PF295</t>
  </si>
  <si>
    <t>PF296</t>
  </si>
  <si>
    <t>PF297</t>
  </si>
  <si>
    <t>PF298</t>
  </si>
  <si>
    <t>PF299</t>
  </si>
  <si>
    <t>PF300</t>
  </si>
  <si>
    <t>PF301</t>
  </si>
  <si>
    <t>PF302</t>
  </si>
  <si>
    <t>PF303</t>
  </si>
  <si>
    <t>PF304</t>
  </si>
  <si>
    <t>PF305</t>
  </si>
  <si>
    <t>PF306</t>
  </si>
  <si>
    <t>PF307</t>
  </si>
  <si>
    <t>PF308</t>
  </si>
  <si>
    <t>PF309</t>
  </si>
  <si>
    <t>PF310</t>
  </si>
  <si>
    <t>PF311</t>
  </si>
  <si>
    <t>PF312</t>
  </si>
  <si>
    <t>PF313</t>
  </si>
  <si>
    <t>PF314</t>
  </si>
  <si>
    <t>PF315</t>
  </si>
  <si>
    <t>PF316</t>
  </si>
  <si>
    <t>PF317</t>
  </si>
  <si>
    <t>PF318</t>
  </si>
  <si>
    <t>PF319</t>
  </si>
  <si>
    <t>PF320</t>
  </si>
  <si>
    <t>PF321</t>
  </si>
  <si>
    <t>PF322</t>
  </si>
  <si>
    <t>PF323</t>
  </si>
  <si>
    <t>PF324</t>
  </si>
  <si>
    <t>PF325</t>
  </si>
  <si>
    <t>PF326</t>
  </si>
  <si>
    <t>PF327</t>
  </si>
  <si>
    <t>PF328</t>
  </si>
  <si>
    <t>PF329</t>
  </si>
  <si>
    <t>PF330</t>
  </si>
  <si>
    <t>PF331</t>
  </si>
  <si>
    <t>PF332</t>
  </si>
  <si>
    <t>PF333</t>
  </si>
  <si>
    <t>PF334</t>
  </si>
  <si>
    <t>PF335</t>
  </si>
  <si>
    <t>PF336</t>
  </si>
  <si>
    <t>PF337</t>
  </si>
  <si>
    <t>PF338</t>
  </si>
  <si>
    <t>PF339</t>
  </si>
  <si>
    <t>PF340</t>
  </si>
  <si>
    <t>PF341</t>
  </si>
  <si>
    <t>PF342</t>
  </si>
  <si>
    <t>PF343</t>
  </si>
  <si>
    <t>PF344</t>
  </si>
  <si>
    <t>PF345</t>
  </si>
  <si>
    <t>PF346</t>
  </si>
  <si>
    <t>PF347</t>
  </si>
  <si>
    <t>PF348</t>
  </si>
  <si>
    <t>PF349</t>
  </si>
  <si>
    <t>PF350</t>
  </si>
  <si>
    <t>PF351</t>
  </si>
  <si>
    <t>PF352</t>
  </si>
  <si>
    <t>PF353</t>
  </si>
  <si>
    <t>PF354</t>
  </si>
  <si>
    <t>PF355</t>
  </si>
  <si>
    <t>PF356</t>
  </si>
  <si>
    <t>PF357</t>
  </si>
  <si>
    <t>PF358</t>
  </si>
  <si>
    <t>PF359</t>
  </si>
  <si>
    <t>PF360</t>
  </si>
  <si>
    <t>PF361</t>
  </si>
  <si>
    <t>PF362</t>
  </si>
  <si>
    <t>PF363</t>
  </si>
  <si>
    <t>PF364</t>
  </si>
  <si>
    <t>PF365</t>
  </si>
  <si>
    <t>PF366</t>
  </si>
  <si>
    <t>PF367</t>
  </si>
  <si>
    <t>PF368</t>
  </si>
  <si>
    <t>PF369</t>
  </si>
  <si>
    <t>PF370</t>
  </si>
  <si>
    <t>PF371</t>
  </si>
  <si>
    <t>PF372</t>
  </si>
  <si>
    <t>PF373</t>
  </si>
  <si>
    <t>PF374</t>
  </si>
  <si>
    <t>PF375</t>
  </si>
  <si>
    <t>PF376</t>
  </si>
  <si>
    <t>PF377</t>
  </si>
  <si>
    <t>PF378</t>
  </si>
  <si>
    <t>PF379</t>
  </si>
  <si>
    <t>PF380</t>
  </si>
  <si>
    <t>PF381</t>
  </si>
  <si>
    <t>PF382</t>
  </si>
  <si>
    <t>PF383</t>
  </si>
  <si>
    <t>PF384</t>
  </si>
  <si>
    <t>PF385</t>
  </si>
  <si>
    <t>PF386</t>
  </si>
  <si>
    <t>PF387</t>
  </si>
  <si>
    <t>PF388</t>
  </si>
  <si>
    <t>PF389</t>
  </si>
  <si>
    <t>PF390</t>
  </si>
  <si>
    <t>PF391</t>
  </si>
  <si>
    <t>PF392</t>
  </si>
  <si>
    <t>PF393</t>
  </si>
  <si>
    <t>PF394</t>
  </si>
  <si>
    <t>PF395</t>
  </si>
  <si>
    <t>PF396</t>
  </si>
  <si>
    <t>PF397</t>
  </si>
  <si>
    <t>PF398</t>
  </si>
  <si>
    <t>PF399</t>
  </si>
  <si>
    <t>PF400</t>
  </si>
  <si>
    <t>PF401</t>
  </si>
  <si>
    <t>PF402</t>
  </si>
  <si>
    <t>PF403</t>
  </si>
  <si>
    <t>PF404</t>
  </si>
  <si>
    <t>PF405</t>
  </si>
  <si>
    <t>PF406</t>
  </si>
  <si>
    <t>PF407</t>
  </si>
  <si>
    <t>PF408</t>
  </si>
  <si>
    <t>PF409</t>
  </si>
  <si>
    <t>PF410</t>
  </si>
  <si>
    <t>PF411</t>
  </si>
  <si>
    <t>PF412</t>
  </si>
  <si>
    <t>PF413</t>
  </si>
  <si>
    <t>PF414</t>
  </si>
  <si>
    <t>PF415</t>
  </si>
  <si>
    <t>PF416</t>
  </si>
  <si>
    <t>PF417</t>
  </si>
  <si>
    <t>PF418</t>
  </si>
  <si>
    <t>PF419</t>
  </si>
  <si>
    <t>PF420</t>
  </si>
  <si>
    <t>PF421</t>
  </si>
  <si>
    <t>PF422</t>
  </si>
  <si>
    <t>PF423</t>
  </si>
  <si>
    <t>PF424</t>
  </si>
  <si>
    <t>PF425</t>
  </si>
  <si>
    <t>PF426</t>
  </si>
  <si>
    <t>PF427</t>
  </si>
  <si>
    <t>PF428</t>
  </si>
  <si>
    <t>PF429</t>
  </si>
  <si>
    <t>PF430</t>
  </si>
  <si>
    <t>PF431</t>
  </si>
  <si>
    <t>PF432</t>
  </si>
  <si>
    <t>PF433</t>
  </si>
  <si>
    <t>PF434</t>
  </si>
  <si>
    <t>PF435</t>
  </si>
  <si>
    <t>PF436</t>
  </si>
  <si>
    <t>PF437</t>
  </si>
  <si>
    <t>PF438</t>
  </si>
  <si>
    <t>PF439</t>
  </si>
  <si>
    <t>PF440</t>
  </si>
  <si>
    <t>PF441</t>
  </si>
  <si>
    <t>PF442</t>
  </si>
  <si>
    <t>PF443</t>
  </si>
  <si>
    <t>PF444</t>
  </si>
  <si>
    <t>PF445</t>
  </si>
  <si>
    <t>PF446</t>
  </si>
  <si>
    <t>PF447</t>
  </si>
  <si>
    <t>PF448</t>
  </si>
  <si>
    <t>PF449</t>
  </si>
  <si>
    <t>PF450</t>
  </si>
  <si>
    <t>PF451</t>
  </si>
  <si>
    <t>PF452</t>
  </si>
  <si>
    <t>PF453</t>
  </si>
  <si>
    <t>PF454</t>
  </si>
  <si>
    <t>PF455</t>
  </si>
  <si>
    <t>PF456</t>
  </si>
  <si>
    <t>PF457</t>
  </si>
  <si>
    <t>PF458</t>
  </si>
  <si>
    <t>PF459</t>
  </si>
  <si>
    <t>PF460</t>
  </si>
  <si>
    <t>PF461</t>
  </si>
  <si>
    <t>PF462</t>
  </si>
  <si>
    <t>PF463</t>
  </si>
  <si>
    <t>PF464</t>
  </si>
  <si>
    <t>PF465</t>
  </si>
  <si>
    <t>PF466</t>
  </si>
  <si>
    <t>PF467</t>
  </si>
  <si>
    <t>PF468</t>
  </si>
  <si>
    <t>PF469</t>
  </si>
  <si>
    <t>PF470</t>
  </si>
  <si>
    <t>PF471</t>
  </si>
  <si>
    <t>PF472</t>
  </si>
  <si>
    <t>PF473</t>
  </si>
  <si>
    <t>PF474</t>
  </si>
  <si>
    <t>PF475</t>
  </si>
  <si>
    <t>PF476</t>
  </si>
  <si>
    <t>PF477</t>
  </si>
  <si>
    <t>PF478</t>
  </si>
  <si>
    <t>PF479</t>
  </si>
  <si>
    <t>PF480</t>
  </si>
  <si>
    <t>PF481</t>
  </si>
  <si>
    <t>PF482</t>
  </si>
  <si>
    <t>PF483</t>
  </si>
  <si>
    <t>PF484</t>
  </si>
  <si>
    <t>PF485</t>
  </si>
  <si>
    <t>PF486</t>
  </si>
  <si>
    <t>final_val_label</t>
  </si>
  <si>
    <t>final_pf_loss_driver</t>
  </si>
  <si>
    <t>other</t>
  </si>
  <si>
    <t>Tree-cutting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</si>
</sst>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0" borderId="1" xfId="0" applyFont="1" applyBorder="1" applyAlignment="1">
      <alignment horizontal="left" vertical="top"/>
    </xf>
    <xf numFmtId="0" fontId="0" fillId="0" borderId="0" xfId="0" applyAlignment="1">
      <alignment horizontal="left"/>
    </xf>
    <xf numFmtId="0" fontId="2" fillId="0" borderId="0" xfId="1" applyFill="1" applyAlignment="1">
      <alignment horizontal="left"/>
    </xf>
    <xf numFmtId="0" fontId="1" fillId="2" borderId="1" xfId="0" applyFont="1" applyFill="1" applyBorder="1" applyAlignment="1">
      <alignment horizontal="left" vertical="top"/>
    </xf>
    <xf numFmtId="0" fontId="0" fillId="2" borderId="0" xfId="0" applyFill="1" applyAlignment="1">
      <alignment horizontal="left"/>
    </xf>
    <xf numFmtId="0" fontId="3" fillId="2" borderId="0" xfId="0" applyFont="1" applyFill="1" applyAlignment="1">
      <alignment horizontal="left"/>
    </xf>
    <xf numFmtId="0" fontId="4" fillId="0" borderId="1" xfId="0" applyFont="1" applyBorder="1" applyAlignment="1">
      <alignment horizontal="left" vertical="top"/>
    </xf>
    <xf numFmtId="0" fontId="2" fillId="0" borderId="0" xfId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01"/>
  <sheetViews>
    <sheetView zoomScaleNormal="100" workbookViewId="0">
      <pane ySplit="1" topLeftCell="A2" activePane="bottomLeft" state="frozen"/>
      <selection pane="bottomLeft" activeCell="N36" sqref="N36"/>
    </sheetView>
  </sheetViews>
  <sheetFormatPr defaultColWidth="9.26953125" defaultRowHeight="14.5" x14ac:dyDescent="0.35"/>
  <cols>
    <col min="1" max="1" width="9.26953125" style="2"/>
    <col min="2" max="2" width="13.54296875" style="2" customWidth="1"/>
    <col min="3" max="3" width="9.26953125" style="2" bestFit="1" customWidth="1"/>
    <col min="4" max="4" width="4.81640625" style="2" bestFit="1" customWidth="1"/>
    <col min="5" max="5" width="11.08984375" style="2" bestFit="1" customWidth="1"/>
    <col min="6" max="6" width="8.54296875" style="2" bestFit="1" customWidth="1"/>
    <col min="7" max="7" width="11.81640625" style="2" bestFit="1" customWidth="1"/>
    <col min="8" max="8" width="12.453125" style="2" bestFit="1" customWidth="1"/>
    <col min="9" max="9" width="21.54296875" style="2" bestFit="1" customWidth="1"/>
    <col min="10" max="10" width="16.1796875" style="2" bestFit="1" customWidth="1"/>
    <col min="11" max="11" width="12" style="2" bestFit="1" customWidth="1"/>
    <col min="12" max="12" width="21.26953125" style="2" customWidth="1"/>
    <col min="13" max="13" width="18.453125" style="2" customWidth="1"/>
    <col min="14" max="14" width="16.7265625" style="2" customWidth="1"/>
    <col min="15" max="16384" width="9.26953125" style="2"/>
  </cols>
  <sheetData>
    <row r="1" spans="1:14" x14ac:dyDescent="0.35">
      <c r="A1" s="1" t="s">
        <v>430</v>
      </c>
      <c r="B1" s="1" t="s">
        <v>423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429</v>
      </c>
      <c r="M1" s="4" t="s">
        <v>431</v>
      </c>
      <c r="N1" s="4" t="s">
        <v>432</v>
      </c>
    </row>
    <row r="2" spans="1:14" x14ac:dyDescent="0.35">
      <c r="A2" s="2">
        <v>1</v>
      </c>
      <c r="B2" s="2" t="s">
        <v>424</v>
      </c>
      <c r="C2" s="2" t="s">
        <v>9</v>
      </c>
      <c r="D2" s="2">
        <v>1997</v>
      </c>
      <c r="E2" s="2" t="s">
        <v>10</v>
      </c>
      <c r="F2" s="2">
        <v>219</v>
      </c>
      <c r="G2" s="2">
        <v>19.511046314178309</v>
      </c>
      <c r="H2" s="2">
        <v>-70.686534198505029</v>
      </c>
      <c r="I2" s="3" t="str">
        <f>HYPERLINK(CONCATENATE("https://faluhong.users.earthengine.app/view/hispaniola-lc-validation#id=LC1;lat=19.511046314178305;lon=-70.68653419850503;year=1997;bf=40;level=18;"), "landsat_time_series")</f>
        <v>landsat_time_series</v>
      </c>
      <c r="J2" s="3" t="str">
        <f>HYPERLINK(CONCATENATE("https://jstnbraaten.users.earthengine.app/view/landsat-timeseries-explorer#run=true;lon=-70.68653419850503;lat=19.511046314178305;from=01-01;to=12-31;index=NBR;rgb=NIR%2FRED%2FGREEN;chipwidth=1;"), "landsat_chips")</f>
        <v>landsat_chips</v>
      </c>
      <c r="K2" s="3" t="str">
        <f>HYPERLINK(CONCATENATE("https://livingatlas.arcgis.com/wayback/#ext=-70.68753419850503,19.512046314178306,-70.68553419850502,19.510046314178304"), "wayback")</f>
        <v>wayback</v>
      </c>
      <c r="L2" s="2" t="s">
        <v>11</v>
      </c>
      <c r="M2" s="5"/>
      <c r="N2" s="5" t="s">
        <v>921</v>
      </c>
    </row>
    <row r="3" spans="1:14" x14ac:dyDescent="0.35">
      <c r="A3" s="2">
        <v>2</v>
      </c>
      <c r="B3" s="2" t="s">
        <v>424</v>
      </c>
      <c r="C3" s="2" t="s">
        <v>12</v>
      </c>
      <c r="D3" s="2">
        <v>2012</v>
      </c>
      <c r="E3" s="2" t="s">
        <v>10</v>
      </c>
      <c r="F3" s="2">
        <v>102</v>
      </c>
      <c r="G3" s="2">
        <v>18.27320000156406</v>
      </c>
      <c r="H3" s="2">
        <v>-70.477124875714736</v>
      </c>
      <c r="I3" s="3" t="str">
        <f>HYPERLINK(CONCATENATE("https://faluhong.users.earthengine.app/view/hispaniola-lc-validation#id=LC2;lat=18.27320000156406;lon=-70.47712487571474;year=2012;bf=40;level=18;"), "landsat_time_series")</f>
        <v>landsat_time_series</v>
      </c>
      <c r="J3" s="3" t="str">
        <f>HYPERLINK(CONCATENATE("https://jstnbraaten.users.earthengine.app/view/landsat-timeseries-explorer#run=true;lon=-70.47712487571474;lat=18.27320000156406;from=01-01;to=12-31;index=NBR;rgb=NIR%2FRED%2FGREEN;chipwidth=1;"), "landsat_chips")</f>
        <v>landsat_chips</v>
      </c>
      <c r="K3" s="3" t="str">
        <f>HYPERLINK(CONCATENATE("https://livingatlas.arcgis.com/wayback/#ext=-70.47812487571474,18.27420000156406,-70.47612487571473,18.27220000156406"), "wayback")</f>
        <v>wayback</v>
      </c>
      <c r="L3" s="2" t="s">
        <v>13</v>
      </c>
      <c r="M3" s="5"/>
      <c r="N3" s="5" t="s">
        <v>921</v>
      </c>
    </row>
    <row r="4" spans="1:14" x14ac:dyDescent="0.35">
      <c r="A4" s="2">
        <v>3</v>
      </c>
      <c r="B4" s="2" t="s">
        <v>424</v>
      </c>
      <c r="C4" s="2" t="s">
        <v>14</v>
      </c>
      <c r="D4" s="2">
        <v>2001</v>
      </c>
      <c r="E4" s="2" t="s">
        <v>10</v>
      </c>
      <c r="F4" s="2">
        <v>0</v>
      </c>
      <c r="G4" s="2">
        <v>19.08812008179229</v>
      </c>
      <c r="H4" s="2">
        <v>-69.569028164519651</v>
      </c>
      <c r="I4" s="3" t="str">
        <f>HYPERLINK(CONCATENATE("https://faluhong.users.earthengine.app/view/hispaniola-lc-validation#id=LC3;lat=19.088120081792287;lon=-69.56902816451965;year=2001;bf=40;level=18;"), "landsat_time_series")</f>
        <v>landsat_time_series</v>
      </c>
      <c r="J4" s="3" t="str">
        <f>HYPERLINK(CONCATENATE("https://jstnbraaten.users.earthengine.app/view/landsat-timeseries-explorer#run=true;lon=-69.56902816451965;lat=19.088120081792287;from=01-01;to=12-31;index=NBR;rgb=NIR%2FRED%2FGREEN;chipwidth=1;"), "landsat_chips")</f>
        <v>landsat_chips</v>
      </c>
      <c r="K4" s="3" t="str">
        <f>HYPERLINK(CONCATENATE("https://livingatlas.arcgis.com/wayback/#ext=-69.57002816451966,19.089120081792288,-69.56802816451965,19.087120081792285"), "wayback")</f>
        <v>wayback</v>
      </c>
      <c r="L4" s="2" t="s">
        <v>15</v>
      </c>
      <c r="M4" s="5"/>
      <c r="N4" s="5" t="s">
        <v>15</v>
      </c>
    </row>
    <row r="5" spans="1:14" x14ac:dyDescent="0.35">
      <c r="A5" s="2">
        <v>4</v>
      </c>
      <c r="B5" s="2" t="s">
        <v>424</v>
      </c>
      <c r="C5" s="2" t="s">
        <v>16</v>
      </c>
      <c r="D5" s="2">
        <v>2017</v>
      </c>
      <c r="E5" s="2" t="s">
        <v>10</v>
      </c>
      <c r="F5" s="2">
        <v>152</v>
      </c>
      <c r="G5" s="2">
        <v>19.06126408037909</v>
      </c>
      <c r="H5" s="2">
        <v>-70.445679294427549</v>
      </c>
      <c r="I5" s="3" t="str">
        <f>HYPERLINK(CONCATENATE("https://faluhong.users.earthengine.app/view/hispaniola-lc-validation#id=LC4;lat=19.06126408037909;lon=-70.44567929442755;year=2017;bf=40;level=18;"), "landsat_time_series")</f>
        <v>landsat_time_series</v>
      </c>
      <c r="J5" s="3" t="str">
        <f>HYPERLINK(CONCATENATE("https://jstnbraaten.users.earthengine.app/view/landsat-timeseries-explorer#run=true;lon=-70.44567929442755;lat=19.06126408037909;from=01-01;to=12-31;index=NBR;rgb=NIR%2FRED%2FGREEN;chipwidth=1;"), "landsat_chips")</f>
        <v>landsat_chips</v>
      </c>
      <c r="K5" s="3" t="str">
        <f>HYPERLINK(CONCATENATE("https://livingatlas.arcgis.com/wayback/#ext=-70.44667929442755,19.06226408037909,-70.44467929442754,19.06026408037909"), "wayback")</f>
        <v>wayback</v>
      </c>
      <c r="L5" s="2" t="s">
        <v>11</v>
      </c>
      <c r="M5" s="5"/>
      <c r="N5" s="5" t="s">
        <v>921</v>
      </c>
    </row>
    <row r="6" spans="1:14" x14ac:dyDescent="0.35">
      <c r="A6" s="2">
        <v>5</v>
      </c>
      <c r="B6" s="2" t="s">
        <v>424</v>
      </c>
      <c r="C6" s="2" t="s">
        <v>17</v>
      </c>
      <c r="D6" s="2">
        <v>2002</v>
      </c>
      <c r="E6" s="2" t="s">
        <v>10</v>
      </c>
      <c r="F6" s="2">
        <v>25</v>
      </c>
      <c r="G6" s="2">
        <v>17.736863768123229</v>
      </c>
      <c r="H6" s="2">
        <v>-71.389357607862436</v>
      </c>
      <c r="I6" s="3" t="str">
        <f>HYPERLINK(CONCATENATE("https://faluhong.users.earthengine.app/view/hispaniola-lc-validation#id=LC5;lat=17.736863768123225;lon=-71.38935760786244;year=2002;bf=40;level=18;"), "landsat_time_series")</f>
        <v>landsat_time_series</v>
      </c>
      <c r="J6" s="3" t="str">
        <f>HYPERLINK(CONCATENATE("https://jstnbraaten.users.earthengine.app/view/landsat-timeseries-explorer#run=true;lon=-71.38935760786244;lat=17.736863768123225;from=01-01;to=12-31;index=NBR;rgb=NIR%2FRED%2FGREEN;chipwidth=1;"), "landsat_chips")</f>
        <v>landsat_chips</v>
      </c>
      <c r="K6" s="3" t="str">
        <f>HYPERLINK(CONCATENATE("https://livingatlas.arcgis.com/wayback/#ext=-71.39035760786244,17.737863768123226,-71.38835760786243,17.735863768123224"), "wayback")</f>
        <v>wayback</v>
      </c>
      <c r="L6" s="2" t="s">
        <v>18</v>
      </c>
      <c r="M6" s="5"/>
      <c r="N6" s="5" t="s">
        <v>18</v>
      </c>
    </row>
    <row r="7" spans="1:14" x14ac:dyDescent="0.35">
      <c r="A7" s="2">
        <v>6</v>
      </c>
      <c r="B7" s="2" t="s">
        <v>424</v>
      </c>
      <c r="C7" s="2" t="s">
        <v>19</v>
      </c>
      <c r="D7" s="2">
        <v>2002</v>
      </c>
      <c r="E7" s="2" t="s">
        <v>20</v>
      </c>
      <c r="F7" s="2">
        <v>152</v>
      </c>
      <c r="G7" s="2">
        <v>20.014205210586422</v>
      </c>
      <c r="H7" s="2">
        <v>-72.729850259471775</v>
      </c>
      <c r="I7" s="3" t="str">
        <f>HYPERLINK(CONCATENATE("https://faluhong.users.earthengine.app/view/hispaniola-lc-validation#id=LC6;lat=20.01420521058642;lon=-72.72985025947177;year=2002;bf=40;level=18;"), "landsat_time_series")</f>
        <v>landsat_time_series</v>
      </c>
      <c r="J7" s="3" t="str">
        <f>HYPERLINK(CONCATENATE("https://jstnbraaten.users.earthengine.app/view/landsat-timeseries-explorer#run=true;lon=-72.72985025947177;lat=20.01420521058642;from=01-01;to=12-31;index=NBR;rgb=NIR%2FRED%2FGREEN;chipwidth=1;"), "landsat_chips")</f>
        <v>landsat_chips</v>
      </c>
      <c r="K7" s="3" t="str">
        <f>HYPERLINK(CONCATENATE("https://livingatlas.arcgis.com/wayback/#ext=-72.73085025947178,20.015205210586423,-72.72885025947177,20.01320521058642"), "wayback")</f>
        <v>wayback</v>
      </c>
      <c r="L7" s="2" t="s">
        <v>21</v>
      </c>
      <c r="M7" s="5"/>
      <c r="N7" s="5" t="s">
        <v>21</v>
      </c>
    </row>
    <row r="8" spans="1:14" x14ac:dyDescent="0.35">
      <c r="A8" s="2">
        <v>7</v>
      </c>
      <c r="B8" s="2" t="s">
        <v>424</v>
      </c>
      <c r="C8" s="2" t="s">
        <v>22</v>
      </c>
      <c r="D8" s="2">
        <v>2021</v>
      </c>
      <c r="E8" s="2" t="s">
        <v>20</v>
      </c>
      <c r="F8" s="2">
        <v>5</v>
      </c>
      <c r="G8" s="2">
        <v>18.545414376613358</v>
      </c>
      <c r="H8" s="2">
        <v>-72.494450813430902</v>
      </c>
      <c r="I8" s="3" t="str">
        <f>HYPERLINK(CONCATENATE("https://faluhong.users.earthengine.app/view/hispaniola-lc-validation#id=LC7;lat=18.54541437661336;lon=-72.4944508134309;year=2021;bf=40;level=18;"), "landsat_time_series")</f>
        <v>landsat_time_series</v>
      </c>
      <c r="J8" s="3" t="str">
        <f>HYPERLINK(CONCATENATE("https://jstnbraaten.users.earthengine.app/view/landsat-timeseries-explorer#run=true;lon=-72.4944508134309;lat=18.54541437661336;from=01-01;to=12-31;index=NBR;rgb=NIR%2FRED%2FGREEN;chipwidth=1;"), "landsat_chips")</f>
        <v>landsat_chips</v>
      </c>
      <c r="K8" s="3" t="str">
        <f>HYPERLINK(CONCATENATE("https://livingatlas.arcgis.com/wayback/#ext=-72.4954508134309,18.54641437661336,-72.4934508134309,18.544414376613357"), "wayback")</f>
        <v>wayback</v>
      </c>
      <c r="L8" s="2" t="s">
        <v>11</v>
      </c>
      <c r="M8" s="5"/>
      <c r="N8" s="5" t="s">
        <v>11</v>
      </c>
    </row>
    <row r="9" spans="1:14" x14ac:dyDescent="0.35">
      <c r="A9" s="2">
        <v>8</v>
      </c>
      <c r="B9" s="2" t="s">
        <v>424</v>
      </c>
      <c r="C9" s="2" t="s">
        <v>23</v>
      </c>
      <c r="D9" s="2">
        <v>2020</v>
      </c>
      <c r="E9" s="2" t="s">
        <v>10</v>
      </c>
      <c r="F9" s="2">
        <v>5</v>
      </c>
      <c r="G9" s="2">
        <v>18.864467971557051</v>
      </c>
      <c r="H9" s="2">
        <v>-68.644586463485709</v>
      </c>
      <c r="I9" s="3" t="str">
        <f>HYPERLINK(CONCATENATE("https://faluhong.users.earthengine.app/view/hispaniola-lc-validation#id=LC8;lat=18.86446797155705;lon=-68.64458646348571;year=2020;bf=40;level=18;"), "landsat_time_series")</f>
        <v>landsat_time_series</v>
      </c>
      <c r="J9" s="3" t="str">
        <f>HYPERLINK(CONCATENATE("https://jstnbraaten.users.earthengine.app/view/landsat-timeseries-explorer#run=true;lon=-68.64458646348571;lat=18.86446797155705;from=01-01;to=12-31;index=NBR;rgb=NIR%2FRED%2FGREEN;chipwidth=1;"), "landsat_chips")</f>
        <v>landsat_chips</v>
      </c>
      <c r="K9" s="3" t="str">
        <f>HYPERLINK(CONCATENATE("https://livingatlas.arcgis.com/wayback/#ext=-68.64558646348571,18.865467971557052,-68.6435864634857,18.86346797155705"), "wayback")</f>
        <v>wayback</v>
      </c>
      <c r="L9" s="2" t="s">
        <v>24</v>
      </c>
      <c r="M9" s="5"/>
      <c r="N9" s="5" t="s">
        <v>24</v>
      </c>
    </row>
    <row r="10" spans="1:14" x14ac:dyDescent="0.35">
      <c r="A10" s="2">
        <v>9</v>
      </c>
      <c r="B10" s="2" t="s">
        <v>424</v>
      </c>
      <c r="C10" s="2" t="s">
        <v>25</v>
      </c>
      <c r="D10" s="2">
        <v>2013</v>
      </c>
      <c r="E10" s="2" t="s">
        <v>10</v>
      </c>
      <c r="F10" s="2">
        <v>8</v>
      </c>
      <c r="G10" s="2">
        <v>19.30216509221902</v>
      </c>
      <c r="H10" s="2">
        <v>-69.573160444699013</v>
      </c>
      <c r="I10" s="3" t="str">
        <f>HYPERLINK(CONCATENATE("https://faluhong.users.earthengine.app/view/hispaniola-lc-validation#id=LC9;lat=19.302165092219017;lon=-69.57316044469901;year=2013;bf=40;level=18;"), "landsat_time_series")</f>
        <v>landsat_time_series</v>
      </c>
      <c r="J10" s="3" t="str">
        <f>HYPERLINK(CONCATENATE("https://jstnbraaten.users.earthengine.app/view/landsat-timeseries-explorer#run=true;lon=-69.57316044469901;lat=19.302165092219017;from=01-01;to=12-31;index=NBR;rgb=NIR%2FRED%2FGREEN;chipwidth=1;"), "landsat_chips")</f>
        <v>landsat_chips</v>
      </c>
      <c r="K10" s="3" t="str">
        <f>HYPERLINK(CONCATENATE("https://livingatlas.arcgis.com/wayback/#ext=-69.57416044469902,19.303165092219018,-69.57216044469901,19.301165092219016"), "wayback")</f>
        <v>wayback</v>
      </c>
      <c r="L10" s="2" t="s">
        <v>24</v>
      </c>
      <c r="M10" s="5"/>
      <c r="N10" s="5" t="s">
        <v>21</v>
      </c>
    </row>
    <row r="11" spans="1:14" x14ac:dyDescent="0.35">
      <c r="A11" s="2">
        <v>10</v>
      </c>
      <c r="B11" s="2" t="s">
        <v>424</v>
      </c>
      <c r="C11" s="2" t="s">
        <v>26</v>
      </c>
      <c r="D11" s="2">
        <v>2011</v>
      </c>
      <c r="E11" s="2" t="s">
        <v>10</v>
      </c>
      <c r="F11" s="2">
        <v>-39</v>
      </c>
      <c r="G11" s="2">
        <v>18.43189231341486</v>
      </c>
      <c r="H11" s="2">
        <v>-71.503213433135556</v>
      </c>
      <c r="I11" s="3" t="str">
        <f>HYPERLINK(CONCATENATE("https://faluhong.users.earthengine.app/view/hispaniola-lc-validation#id=LC10;lat=18.431892313414863;lon=-71.50321343313556;year=2011;bf=40;level=18;"), "landsat_time_series")</f>
        <v>landsat_time_series</v>
      </c>
      <c r="J11" s="3" t="str">
        <f>HYPERLINK(CONCATENATE("https://jstnbraaten.users.earthengine.app/view/landsat-timeseries-explorer#run=true;lon=-71.50321343313556;lat=18.431892313414863;from=01-01;to=12-31;index=NBR;rgb=NIR%2FRED%2FGREEN;chipwidth=1;"), "landsat_chips")</f>
        <v>landsat_chips</v>
      </c>
      <c r="K11" s="3" t="str">
        <f>HYPERLINK(CONCATENATE("https://livingatlas.arcgis.com/wayback/#ext=-71.50421343313556,18.432892313414865,-71.50221343313555,18.430892313414862"), "wayback")</f>
        <v>wayback</v>
      </c>
      <c r="L11" s="2" t="s">
        <v>15</v>
      </c>
      <c r="M11" s="5"/>
      <c r="N11" s="5" t="s">
        <v>15</v>
      </c>
    </row>
    <row r="12" spans="1:14" x14ac:dyDescent="0.35">
      <c r="A12" s="2">
        <v>11</v>
      </c>
      <c r="B12" s="2" t="s">
        <v>424</v>
      </c>
      <c r="C12" s="2" t="s">
        <v>27</v>
      </c>
      <c r="D12" s="2">
        <v>2008</v>
      </c>
      <c r="E12" s="2" t="s">
        <v>20</v>
      </c>
      <c r="F12" s="2">
        <v>510</v>
      </c>
      <c r="G12" s="2">
        <v>19.707573100195479</v>
      </c>
      <c r="H12" s="2">
        <v>-73.420117647050319</v>
      </c>
      <c r="I12" s="3" t="str">
        <f>HYPERLINK(CONCATENATE("https://faluhong.users.earthengine.app/view/hispaniola-lc-validation#id=LC11;lat=19.70757310019548;lon=-73.42011764705032;year=2008;bf=40;level=18;"), "landsat_time_series")</f>
        <v>landsat_time_series</v>
      </c>
      <c r="J12" s="3" t="str">
        <f>HYPERLINK(CONCATENATE("https://jstnbraaten.users.earthengine.app/view/landsat-timeseries-explorer#run=true;lon=-73.42011764705032;lat=19.70757310019548;from=01-01;to=12-31;index=NBR;rgb=NIR%2FRED%2FGREEN;chipwidth=1;"), "landsat_chips")</f>
        <v>landsat_chips</v>
      </c>
      <c r="K12" s="3" t="str">
        <f>HYPERLINK(CONCATENATE("https://livingatlas.arcgis.com/wayback/#ext=-73.42111764705032,19.70857310019548,-73.41911764705031,19.706573100195477"), "wayback")</f>
        <v>wayback</v>
      </c>
      <c r="L12" s="2" t="s">
        <v>921</v>
      </c>
      <c r="M12" s="5"/>
      <c r="N12" s="5" t="s">
        <v>921</v>
      </c>
    </row>
    <row r="13" spans="1:14" x14ac:dyDescent="0.35">
      <c r="A13" s="2">
        <v>12</v>
      </c>
      <c r="B13" s="2" t="s">
        <v>424</v>
      </c>
      <c r="C13" s="2" t="s">
        <v>28</v>
      </c>
      <c r="D13" s="2">
        <v>2021</v>
      </c>
      <c r="E13" s="2" t="s">
        <v>10</v>
      </c>
      <c r="F13" s="2">
        <v>3</v>
      </c>
      <c r="G13" s="2">
        <v>18.32638637444877</v>
      </c>
      <c r="H13" s="2">
        <v>-70.853872841965639</v>
      </c>
      <c r="I13" s="3" t="str">
        <f>HYPERLINK(CONCATENATE("https://faluhong.users.earthengine.app/view/hispaniola-lc-validation#id=LC12;lat=18.326386374448774;lon=-70.85387284196564;year=2021;bf=40;level=18;"), "landsat_time_series")</f>
        <v>landsat_time_series</v>
      </c>
      <c r="J13" s="3" t="str">
        <f>HYPERLINK(CONCATENATE("https://jstnbraaten.users.earthengine.app/view/landsat-timeseries-explorer#run=true;lon=-70.85387284196564;lat=18.326386374448774;from=01-01;to=12-31;index=NBR;rgb=NIR%2FRED%2FGREEN;chipwidth=1;"), "landsat_chips")</f>
        <v>landsat_chips</v>
      </c>
      <c r="K13" s="3" t="str">
        <f>HYPERLINK(CONCATENATE("https://livingatlas.arcgis.com/wayback/#ext=-70.85487284196564,18.327386374448775,-70.85287284196563,18.325386374448772"), "wayback")</f>
        <v>wayback</v>
      </c>
      <c r="L13" s="2" t="s">
        <v>13</v>
      </c>
      <c r="M13" s="5"/>
      <c r="N13" s="5" t="s">
        <v>13</v>
      </c>
    </row>
    <row r="14" spans="1:14" x14ac:dyDescent="0.35">
      <c r="A14" s="2">
        <v>13</v>
      </c>
      <c r="B14" s="2" t="s">
        <v>424</v>
      </c>
      <c r="C14" s="2" t="s">
        <v>29</v>
      </c>
      <c r="D14" s="2">
        <v>1997</v>
      </c>
      <c r="E14" s="2" t="s">
        <v>20</v>
      </c>
      <c r="F14" s="2">
        <v>3</v>
      </c>
      <c r="G14" s="2">
        <v>18.563036231418419</v>
      </c>
      <c r="H14" s="2">
        <v>-73.727686209752889</v>
      </c>
      <c r="I14" s="3" t="str">
        <f>HYPERLINK(CONCATENATE("https://faluhong.users.earthengine.app/view/hispaniola-lc-validation#id=LC13;lat=18.56303623141842;lon=-73.72768620975289;year=1997;bf=40;level=18;"), "landsat_time_series")</f>
        <v>landsat_time_series</v>
      </c>
      <c r="J14" s="3" t="str">
        <f>HYPERLINK(CONCATENATE("https://jstnbraaten.users.earthengine.app/view/landsat-timeseries-explorer#run=true;lon=-73.72768620975289;lat=18.56303623141842;from=01-01;to=12-31;index=NBR;rgb=NIR%2FRED%2FGREEN;chipwidth=1;"), "landsat_chips")</f>
        <v>landsat_chips</v>
      </c>
      <c r="K14" s="3" t="str">
        <f>HYPERLINK(CONCATENATE("https://livingatlas.arcgis.com/wayback/#ext=-73.7286862097529,18.56403623141842,-73.72668620975288,18.562036231418418"), "wayback")</f>
        <v>wayback</v>
      </c>
      <c r="L14" s="2" t="s">
        <v>24</v>
      </c>
      <c r="M14" s="5"/>
      <c r="N14" s="5" t="s">
        <v>24</v>
      </c>
    </row>
    <row r="15" spans="1:14" x14ac:dyDescent="0.35">
      <c r="A15" s="2">
        <v>14</v>
      </c>
      <c r="B15" s="2" t="s">
        <v>424</v>
      </c>
      <c r="C15" s="2" t="s">
        <v>30</v>
      </c>
      <c r="D15" s="2">
        <v>1999</v>
      </c>
      <c r="E15" s="2" t="s">
        <v>10</v>
      </c>
      <c r="F15" s="2">
        <v>7</v>
      </c>
      <c r="G15" s="2">
        <v>18.411555935465049</v>
      </c>
      <c r="H15" s="2">
        <v>-71.31092801960753</v>
      </c>
      <c r="I15" s="3" t="str">
        <f>HYPERLINK(CONCATENATE("https://faluhong.users.earthengine.app/view/hispaniola-lc-validation#id=LC14;lat=18.41155593546505;lon=-71.31092801960753;year=1999;bf=40;level=18;"), "landsat_time_series")</f>
        <v>landsat_time_series</v>
      </c>
      <c r="J15" s="3" t="str">
        <f>HYPERLINK(CONCATENATE("https://jstnbraaten.users.earthengine.app/view/landsat-timeseries-explorer#run=true;lon=-71.31092801960753;lat=18.41155593546505;from=01-01;to=12-31;index=NBR;rgb=NIR%2FRED%2FGREEN;chipwidth=1;"), "landsat_chips")</f>
        <v>landsat_chips</v>
      </c>
      <c r="K15" s="3" t="str">
        <f>HYPERLINK(CONCATENATE("https://livingatlas.arcgis.com/wayback/#ext=-71.31192801960754,18.41255593546505,-71.30992801960753,18.410555935465048"), "wayback")</f>
        <v>wayback</v>
      </c>
      <c r="L15" s="2" t="s">
        <v>13</v>
      </c>
      <c r="M15" s="5"/>
      <c r="N15" s="5" t="s">
        <v>21</v>
      </c>
    </row>
    <row r="16" spans="1:14" x14ac:dyDescent="0.35">
      <c r="A16" s="2">
        <v>15</v>
      </c>
      <c r="B16" s="2" t="s">
        <v>424</v>
      </c>
      <c r="C16" s="2" t="s">
        <v>31</v>
      </c>
      <c r="D16" s="2">
        <v>2008</v>
      </c>
      <c r="E16" s="2" t="s">
        <v>10</v>
      </c>
      <c r="F16" s="2">
        <v>63</v>
      </c>
      <c r="G16" s="2">
        <v>18.356755980273672</v>
      </c>
      <c r="H16" s="2">
        <v>-68.635107797806072</v>
      </c>
      <c r="I16" s="3" t="str">
        <f>HYPERLINK(CONCATENATE("https://faluhong.users.earthengine.app/view/hispaniola-lc-validation#id=LC15;lat=18.35675598027367;lon=-68.63510779780607;year=2008;bf=40;level=18;"), "landsat_time_series")</f>
        <v>landsat_time_series</v>
      </c>
      <c r="J16" s="3" t="str">
        <f>HYPERLINK(CONCATENATE("https://jstnbraaten.users.earthengine.app/view/landsat-timeseries-explorer#run=true;lon=-68.63510779780607;lat=18.35675598027367;from=01-01;to=12-31;index=NBR;rgb=NIR%2FRED%2FGREEN;chipwidth=1;"), "landsat_chips")</f>
        <v>landsat_chips</v>
      </c>
      <c r="K16" s="3" t="str">
        <f>HYPERLINK(CONCATENATE("https://livingatlas.arcgis.com/wayback/#ext=-68.63610779780608,18.357755980273673,-68.63410779780607,18.35575598027367"), "wayback")</f>
        <v>wayback</v>
      </c>
      <c r="L16" s="2" t="s">
        <v>18</v>
      </c>
      <c r="M16" s="5"/>
      <c r="N16" s="5" t="s">
        <v>21</v>
      </c>
    </row>
    <row r="17" spans="1:14" x14ac:dyDescent="0.35">
      <c r="A17" s="2">
        <v>16</v>
      </c>
      <c r="B17" s="2" t="s">
        <v>424</v>
      </c>
      <c r="C17" s="2" t="s">
        <v>32</v>
      </c>
      <c r="D17" s="2">
        <v>1996</v>
      </c>
      <c r="E17" s="2" t="s">
        <v>10</v>
      </c>
      <c r="F17" s="2">
        <v>8</v>
      </c>
      <c r="G17" s="2">
        <v>18.163492868768039</v>
      </c>
      <c r="H17" s="2">
        <v>-68.746615042870772</v>
      </c>
      <c r="I17" s="3" t="str">
        <f>HYPERLINK(CONCATENATE("https://faluhong.users.earthengine.app/view/hispaniola-lc-validation#id=LC16;lat=18.163492868768035;lon=-68.74661504287077;year=1996;bf=40;level=18;"), "landsat_time_series")</f>
        <v>landsat_time_series</v>
      </c>
      <c r="J17" s="3" t="str">
        <f>HYPERLINK(CONCATENATE("https://jstnbraaten.users.earthengine.app/view/landsat-timeseries-explorer#run=true;lon=-68.74661504287077;lat=18.163492868768035;from=01-01;to=12-31;index=NBR;rgb=NIR%2FRED%2FGREEN;chipwidth=1;"), "landsat_chips")</f>
        <v>landsat_chips</v>
      </c>
      <c r="K17" s="3" t="str">
        <f>HYPERLINK(CONCATENATE("https://livingatlas.arcgis.com/wayback/#ext=-68.74761504287078,18.164492868768036,-68.74561504287077,18.162492868768034"), "wayback")</f>
        <v>wayback</v>
      </c>
      <c r="L17" s="2" t="s">
        <v>18</v>
      </c>
      <c r="M17" s="5"/>
      <c r="N17" s="5" t="s">
        <v>18</v>
      </c>
    </row>
    <row r="18" spans="1:14" x14ac:dyDescent="0.35">
      <c r="A18" s="2">
        <v>17</v>
      </c>
      <c r="B18" s="2" t="s">
        <v>424</v>
      </c>
      <c r="C18" s="2" t="s">
        <v>33</v>
      </c>
      <c r="D18" s="2">
        <v>2009</v>
      </c>
      <c r="E18" s="2" t="s">
        <v>20</v>
      </c>
      <c r="F18" s="2">
        <v>331</v>
      </c>
      <c r="G18" s="2">
        <v>18.581005486735819</v>
      </c>
      <c r="H18" s="2">
        <v>-74.251922760091475</v>
      </c>
      <c r="I18" s="3" t="str">
        <f>HYPERLINK(CONCATENATE("https://faluhong.users.earthengine.app/view/hispaniola-lc-validation#id=LC17;lat=18.58100548673582;lon=-74.25192276009147;year=2009;bf=40;level=18;"), "landsat_time_series")</f>
        <v>landsat_time_series</v>
      </c>
      <c r="J18" s="3" t="str">
        <f>HYPERLINK(CONCATENATE("https://jstnbraaten.users.earthengine.app/view/landsat-timeseries-explorer#run=true;lon=-74.25192276009147;lat=18.58100548673582;from=01-01;to=12-31;index=NBR;rgb=NIR%2FRED%2FGREEN;chipwidth=1;"), "landsat_chips")</f>
        <v>landsat_chips</v>
      </c>
      <c r="K18" s="3" t="str">
        <f>HYPERLINK(CONCATENATE("https://livingatlas.arcgis.com/wayback/#ext=-74.25292276009148,18.58200548673582,-74.25092276009147,18.580005486735818"), "wayback")</f>
        <v>wayback</v>
      </c>
      <c r="L18" s="2" t="s">
        <v>21</v>
      </c>
      <c r="M18" s="5"/>
      <c r="N18" s="5" t="s">
        <v>21</v>
      </c>
    </row>
    <row r="19" spans="1:14" x14ac:dyDescent="0.35">
      <c r="A19" s="2">
        <v>18</v>
      </c>
      <c r="B19" s="2" t="s">
        <v>424</v>
      </c>
      <c r="C19" s="2" t="s">
        <v>34</v>
      </c>
      <c r="D19" s="2">
        <v>1996</v>
      </c>
      <c r="E19" s="2" t="s">
        <v>20</v>
      </c>
      <c r="F19" s="2">
        <v>749</v>
      </c>
      <c r="G19" s="2">
        <v>18.285094075837971</v>
      </c>
      <c r="H19" s="2">
        <v>-73.988070406076176</v>
      </c>
      <c r="I19" s="3" t="str">
        <f>HYPERLINK(CONCATENATE("https://faluhong.users.earthengine.app/view/hispaniola-lc-validation#id=LC18;lat=18.285094075837975;lon=-73.98807040607618;year=1996;bf=40;level=18;"), "landsat_time_series")</f>
        <v>landsat_time_series</v>
      </c>
      <c r="J19" s="3" t="str">
        <f>HYPERLINK(CONCATENATE("https://jstnbraaten.users.earthengine.app/view/landsat-timeseries-explorer#run=true;lon=-73.98807040607618;lat=18.285094075837975;from=01-01;to=12-31;index=NBR;rgb=NIR%2FRED%2FGREEN;chipwidth=1;"), "landsat_chips")</f>
        <v>landsat_chips</v>
      </c>
      <c r="K19" s="3" t="str">
        <f>HYPERLINK(CONCATENATE("https://livingatlas.arcgis.com/wayback/#ext=-73.98907040607618,18.286094075837976,-73.98707040607617,18.284094075837974"), "wayback")</f>
        <v>wayback</v>
      </c>
      <c r="L19" s="2" t="s">
        <v>921</v>
      </c>
      <c r="M19" s="5"/>
      <c r="N19" s="5" t="s">
        <v>921</v>
      </c>
    </row>
    <row r="20" spans="1:14" x14ac:dyDescent="0.35">
      <c r="A20" s="2">
        <v>19</v>
      </c>
      <c r="B20" s="2" t="s">
        <v>424</v>
      </c>
      <c r="C20" s="2" t="s">
        <v>35</v>
      </c>
      <c r="D20" s="2">
        <v>2012</v>
      </c>
      <c r="E20" s="2" t="s">
        <v>20</v>
      </c>
      <c r="F20" s="2">
        <v>1811</v>
      </c>
      <c r="G20" s="2">
        <v>18.324042931935111</v>
      </c>
      <c r="H20" s="2">
        <v>-71.946010140682063</v>
      </c>
      <c r="I20" s="3" t="str">
        <f>HYPERLINK(CONCATENATE("https://faluhong.users.earthengine.app/view/hispaniola-lc-validation#id=LC19;lat=18.32404293193511;lon=-71.94601014068206;year=2012;bf=40;level=18;"), "landsat_time_series")</f>
        <v>landsat_time_series</v>
      </c>
      <c r="J20" s="3" t="str">
        <f>HYPERLINK(CONCATENATE("https://jstnbraaten.users.earthengine.app/view/landsat-timeseries-explorer#run=true;lon=-71.94601014068206;lat=18.32404293193511;from=01-01;to=12-31;index=NBR;rgb=NIR%2FRED%2FGREEN;chipwidth=1;"), "landsat_chips")</f>
        <v>landsat_chips</v>
      </c>
      <c r="K20" s="3" t="str">
        <f>HYPERLINK(CONCATENATE("https://livingatlas.arcgis.com/wayback/#ext=-71.94701014068207,18.325042931935112,-71.94501014068206,18.32304293193511"), "wayback")</f>
        <v>wayback</v>
      </c>
      <c r="L20" s="2" t="s">
        <v>921</v>
      </c>
      <c r="M20" s="5"/>
      <c r="N20" s="5" t="s">
        <v>21</v>
      </c>
    </row>
    <row r="21" spans="1:14" x14ac:dyDescent="0.35">
      <c r="A21" s="2">
        <v>20</v>
      </c>
      <c r="B21" s="2" t="s">
        <v>424</v>
      </c>
      <c r="C21" s="2" t="s">
        <v>36</v>
      </c>
      <c r="D21" s="2">
        <v>2017</v>
      </c>
      <c r="E21" s="2" t="s">
        <v>10</v>
      </c>
      <c r="F21" s="2">
        <v>10</v>
      </c>
      <c r="G21" s="2">
        <v>18.316635262161011</v>
      </c>
      <c r="H21" s="2">
        <v>-68.798507238289233</v>
      </c>
      <c r="I21" s="3" t="str">
        <f>HYPERLINK(CONCATENATE("https://faluhong.users.earthengine.app/view/hispaniola-lc-validation#id=LC20;lat=18.316635262161007;lon=-68.79850723828923;year=2017;bf=40;level=18;"), "landsat_time_series")</f>
        <v>landsat_time_series</v>
      </c>
      <c r="J21" s="3" t="str">
        <f>HYPERLINK(CONCATENATE("https://jstnbraaten.users.earthengine.app/view/landsat-timeseries-explorer#run=true;lon=-68.79850723828923;lat=18.316635262161007;from=01-01;to=12-31;index=NBR;rgb=NIR%2FRED%2FGREEN;chipwidth=1;"), "landsat_chips")</f>
        <v>landsat_chips</v>
      </c>
      <c r="K21" s="3" t="str">
        <f>HYPERLINK(CONCATENATE("https://livingatlas.arcgis.com/wayback/#ext=-68.79950723828924,18.31763526216101,-68.79750723828923,18.315635262161006"), "wayback")</f>
        <v>wayback</v>
      </c>
      <c r="L21" s="2" t="s">
        <v>18</v>
      </c>
      <c r="M21" s="5"/>
      <c r="N21" s="5" t="s">
        <v>18</v>
      </c>
    </row>
    <row r="22" spans="1:14" x14ac:dyDescent="0.35">
      <c r="A22" s="2">
        <v>21</v>
      </c>
      <c r="B22" s="2" t="s">
        <v>424</v>
      </c>
      <c r="C22" s="2" t="s">
        <v>37</v>
      </c>
      <c r="D22" s="2">
        <v>2006</v>
      </c>
      <c r="E22" s="2" t="s">
        <v>10</v>
      </c>
      <c r="F22" s="2">
        <v>2297</v>
      </c>
      <c r="G22" s="2">
        <v>18.70868160680352</v>
      </c>
      <c r="H22" s="2">
        <v>-70.61173759448188</v>
      </c>
      <c r="I22" s="3" t="str">
        <f>HYPERLINK(CONCATENATE("https://faluhong.users.earthengine.app/view/hispaniola-lc-validation#id=LC21;lat=18.70868160680352;lon=-70.61173759448188;year=2006;bf=40;level=18;"), "landsat_time_series")</f>
        <v>landsat_time_series</v>
      </c>
      <c r="J22" s="3" t="str">
        <f>HYPERLINK(CONCATENATE("https://jstnbraaten.users.earthengine.app/view/landsat-timeseries-explorer#run=true;lon=-70.61173759448188;lat=18.70868160680352;from=01-01;to=12-31;index=NBR;rgb=NIR%2FRED%2FGREEN;chipwidth=1;"), "landsat_chips")</f>
        <v>landsat_chips</v>
      </c>
      <c r="K22" s="3" t="str">
        <f>HYPERLINK(CONCATENATE("https://livingatlas.arcgis.com/wayback/#ext=-70.61273759448189,18.70968160680352,-70.61073759448188,18.70768160680352"), "wayback")</f>
        <v>wayback</v>
      </c>
      <c r="L22" s="2" t="s">
        <v>38</v>
      </c>
      <c r="M22" s="5"/>
      <c r="N22" s="5" t="s">
        <v>38</v>
      </c>
    </row>
    <row r="23" spans="1:14" x14ac:dyDescent="0.35">
      <c r="A23" s="2">
        <v>22</v>
      </c>
      <c r="B23" s="2" t="s">
        <v>424</v>
      </c>
      <c r="C23" s="2" t="s">
        <v>39</v>
      </c>
      <c r="D23" s="2">
        <v>2014</v>
      </c>
      <c r="E23" s="2" t="s">
        <v>10</v>
      </c>
      <c r="F23" s="2">
        <v>1874</v>
      </c>
      <c r="G23" s="2">
        <v>19.166921080989631</v>
      </c>
      <c r="H23" s="2">
        <v>-71.211413330368373</v>
      </c>
      <c r="I23" s="3" t="str">
        <f>HYPERLINK(CONCATENATE("https://faluhong.users.earthengine.app/view/hispaniola-lc-validation#id=LC22;lat=19.16692108098963;lon=-71.21141333036837;year=2014;bf=40;level=18;"), "landsat_time_series")</f>
        <v>landsat_time_series</v>
      </c>
      <c r="J23" s="3" t="str">
        <f>HYPERLINK(CONCATENATE("https://jstnbraaten.users.earthengine.app/view/landsat-timeseries-explorer#run=true;lon=-71.21141333036837;lat=19.16692108098963;from=01-01;to=12-31;index=NBR;rgb=NIR%2FRED%2FGREEN;chipwidth=1;"), "landsat_chips")</f>
        <v>landsat_chips</v>
      </c>
      <c r="K23" s="3" t="str">
        <f>HYPERLINK(CONCATENATE("https://livingatlas.arcgis.com/wayback/#ext=-71.21241333036838,19.167921080989633,-71.21041333036837,19.16592108098963"), "wayback")</f>
        <v>wayback</v>
      </c>
      <c r="L23" s="2" t="s">
        <v>38</v>
      </c>
      <c r="M23" s="5"/>
      <c r="N23" s="5" t="s">
        <v>38</v>
      </c>
    </row>
    <row r="24" spans="1:14" x14ac:dyDescent="0.35">
      <c r="A24" s="2">
        <v>23</v>
      </c>
      <c r="B24" s="2" t="s">
        <v>424</v>
      </c>
      <c r="C24" s="2" t="s">
        <v>40</v>
      </c>
      <c r="D24" s="2">
        <v>1996</v>
      </c>
      <c r="E24" s="2" t="s">
        <v>20</v>
      </c>
      <c r="F24" s="2">
        <v>205</v>
      </c>
      <c r="G24" s="2">
        <v>18.522828283688391</v>
      </c>
      <c r="H24" s="2">
        <v>-73.761808897848454</v>
      </c>
      <c r="I24" s="3" t="str">
        <f>HYPERLINK(CONCATENATE("https://faluhong.users.earthengine.app/view/hispaniola-lc-validation#id=LC23;lat=18.522828283688387;lon=-73.76180889784845;year=1996;bf=40;level=18;"), "landsat_time_series")</f>
        <v>landsat_time_series</v>
      </c>
      <c r="J24" s="3" t="str">
        <f>HYPERLINK(CONCATENATE("https://jstnbraaten.users.earthengine.app/view/landsat-timeseries-explorer#run=true;lon=-73.76180889784845;lat=18.522828283688387;from=01-01;to=12-31;index=NBR;rgb=NIR%2FRED%2FGREEN;chipwidth=1;"), "landsat_chips")</f>
        <v>landsat_chips</v>
      </c>
      <c r="K24" s="3" t="str">
        <f>HYPERLINK(CONCATENATE("https://livingatlas.arcgis.com/wayback/#ext=-73.76280889784846,18.52382828368839,-73.76080889784845,18.521828283688386"), "wayback")</f>
        <v>wayback</v>
      </c>
      <c r="L24" s="2" t="s">
        <v>21</v>
      </c>
      <c r="M24" s="5"/>
      <c r="N24" s="5" t="s">
        <v>21</v>
      </c>
    </row>
    <row r="25" spans="1:14" x14ac:dyDescent="0.35">
      <c r="A25" s="2">
        <v>24</v>
      </c>
      <c r="B25" s="2" t="s">
        <v>424</v>
      </c>
      <c r="C25" s="2" t="s">
        <v>41</v>
      </c>
      <c r="D25" s="2">
        <v>2021</v>
      </c>
      <c r="E25" s="2" t="s">
        <v>10</v>
      </c>
      <c r="F25" s="2">
        <v>-42</v>
      </c>
      <c r="G25" s="2">
        <v>18.445864146143091</v>
      </c>
      <c r="H25" s="2">
        <v>-71.680973305668445</v>
      </c>
      <c r="I25" s="3" t="str">
        <f>HYPERLINK(CONCATENATE("https://faluhong.users.earthengine.app/view/hispaniola-lc-validation#id=LC24;lat=18.445864146143087;lon=-71.68097330566845;year=2021;bf=40;level=18;"), "landsat_time_series")</f>
        <v>landsat_time_series</v>
      </c>
      <c r="J25" s="3" t="str">
        <f>HYPERLINK(CONCATENATE("https://jstnbraaten.users.earthengine.app/view/landsat-timeseries-explorer#run=true;lon=-71.68097330566845;lat=18.445864146143087;from=01-01;to=12-31;index=NBR;rgb=NIR%2FRED%2FGREEN;chipwidth=1;"), "landsat_chips")</f>
        <v>landsat_chips</v>
      </c>
      <c r="K25" s="3" t="str">
        <f>HYPERLINK(CONCATENATE("https://livingatlas.arcgis.com/wayback/#ext=-71.68197330566845,18.44686414614309,-71.67997330566844,18.444864146143086"), "wayback")</f>
        <v>wayback</v>
      </c>
      <c r="L25" s="2" t="s">
        <v>15</v>
      </c>
      <c r="M25" s="5"/>
      <c r="N25" s="5" t="s">
        <v>15</v>
      </c>
    </row>
    <row r="26" spans="1:14" x14ac:dyDescent="0.35">
      <c r="A26" s="2">
        <v>25</v>
      </c>
      <c r="B26" s="2" t="s">
        <v>424</v>
      </c>
      <c r="C26" s="2" t="s">
        <v>42</v>
      </c>
      <c r="D26" s="2">
        <v>2006</v>
      </c>
      <c r="E26" s="2" t="s">
        <v>10</v>
      </c>
      <c r="F26" s="2">
        <v>491</v>
      </c>
      <c r="G26" s="2">
        <v>19.537155866273029</v>
      </c>
      <c r="H26" s="2">
        <v>-70.194959787096522</v>
      </c>
      <c r="I26" s="3" t="str">
        <f>HYPERLINK(CONCATENATE("https://faluhong.users.earthengine.app/view/hispaniola-lc-validation#id=LC25;lat=19.53715586627303;lon=-70.19495978709652;year=2006;bf=40;level=18;"), "landsat_time_series")</f>
        <v>landsat_time_series</v>
      </c>
      <c r="J26" s="3" t="str">
        <f>HYPERLINK(CONCATENATE("https://jstnbraaten.users.earthengine.app/view/landsat-timeseries-explorer#run=true;lon=-70.19495978709652;lat=19.53715586627303;from=01-01;to=12-31;index=NBR;rgb=NIR%2FRED%2FGREEN;chipwidth=1;"), "landsat_chips")</f>
        <v>landsat_chips</v>
      </c>
      <c r="K26" s="3" t="str">
        <f>HYPERLINK(CONCATENATE("https://livingatlas.arcgis.com/wayback/#ext=-70.19595978709653,19.53815586627303,-70.19395978709652,19.536155866273027"), "wayback")</f>
        <v>wayback</v>
      </c>
      <c r="L26" s="2" t="s">
        <v>21</v>
      </c>
      <c r="M26" s="5"/>
      <c r="N26" s="5" t="s">
        <v>21</v>
      </c>
    </row>
    <row r="27" spans="1:14" x14ac:dyDescent="0.35">
      <c r="A27" s="2">
        <v>26</v>
      </c>
      <c r="B27" s="2" t="s">
        <v>424</v>
      </c>
      <c r="C27" s="2" t="s">
        <v>43</v>
      </c>
      <c r="D27" s="2">
        <v>2002</v>
      </c>
      <c r="E27" s="2" t="s">
        <v>10</v>
      </c>
      <c r="F27" s="2">
        <v>954</v>
      </c>
      <c r="G27" s="2">
        <v>18.304869922834879</v>
      </c>
      <c r="H27" s="2">
        <v>-71.646747819971083</v>
      </c>
      <c r="I27" s="3" t="str">
        <f>HYPERLINK(CONCATENATE("https://faluhong.users.earthengine.app/view/hispaniola-lc-validation#id=LC26;lat=18.30486992283488;lon=-71.64674781997108;year=2002;bf=40;level=18;"), "landsat_time_series")</f>
        <v>landsat_time_series</v>
      </c>
      <c r="J27" s="3" t="str">
        <f>HYPERLINK(CONCATENATE("https://jstnbraaten.users.earthengine.app/view/landsat-timeseries-explorer#run=true;lon=-71.64674781997108;lat=18.30486992283488;from=01-01;to=12-31;index=NBR;rgb=NIR%2FRED%2FGREEN;chipwidth=1;"), "landsat_chips")</f>
        <v>landsat_chips</v>
      </c>
      <c r="K27" s="3" t="str">
        <f>HYPERLINK(CONCATENATE("https://livingatlas.arcgis.com/wayback/#ext=-71.64774781997109,18.30586992283488,-71.64574781997108,18.303869922834878"), "wayback")</f>
        <v>wayback</v>
      </c>
      <c r="L27" s="2" t="s">
        <v>38</v>
      </c>
      <c r="M27" s="5"/>
      <c r="N27" s="5" t="s">
        <v>38</v>
      </c>
    </row>
    <row r="28" spans="1:14" x14ac:dyDescent="0.35">
      <c r="A28" s="2">
        <v>27</v>
      </c>
      <c r="B28" s="2" t="s">
        <v>424</v>
      </c>
      <c r="C28" s="2" t="s">
        <v>44</v>
      </c>
      <c r="D28" s="2">
        <v>1996</v>
      </c>
      <c r="E28" s="2" t="s">
        <v>20</v>
      </c>
      <c r="F28" s="2">
        <v>321</v>
      </c>
      <c r="G28" s="2">
        <v>19.801060443191162</v>
      </c>
      <c r="H28" s="2">
        <v>-72.889663619379277</v>
      </c>
      <c r="I28" s="3" t="str">
        <f>HYPERLINK(CONCATENATE("https://faluhong.users.earthengine.app/view/hispaniola-lc-validation#id=LC27;lat=19.80106044319116;lon=-72.88966361937928;year=1996;bf=40;level=18;"), "landsat_time_series")</f>
        <v>landsat_time_series</v>
      </c>
      <c r="J28" s="3" t="str">
        <f>HYPERLINK(CONCATENATE("https://jstnbraaten.users.earthengine.app/view/landsat-timeseries-explorer#run=true;lon=-72.88966361937928;lat=19.80106044319116;from=01-01;to=12-31;index=NBR;rgb=NIR%2FRED%2FGREEN;chipwidth=1;"), "landsat_chips")</f>
        <v>landsat_chips</v>
      </c>
      <c r="K28" s="3" t="str">
        <f>HYPERLINK(CONCATENATE("https://livingatlas.arcgis.com/wayback/#ext=-72.89066361937928,19.802060443191163,-72.88866361937927,19.80006044319116"), "wayback")</f>
        <v>wayback</v>
      </c>
      <c r="L28" s="2" t="s">
        <v>921</v>
      </c>
      <c r="M28" s="5" t="b">
        <v>1</v>
      </c>
      <c r="N28" s="5" t="s">
        <v>13</v>
      </c>
    </row>
    <row r="29" spans="1:14" x14ac:dyDescent="0.35">
      <c r="A29" s="2">
        <v>28</v>
      </c>
      <c r="B29" s="2" t="s">
        <v>424</v>
      </c>
      <c r="C29" s="2" t="s">
        <v>45</v>
      </c>
      <c r="D29" s="2">
        <v>1999</v>
      </c>
      <c r="E29" s="2" t="s">
        <v>10</v>
      </c>
      <c r="F29" s="2">
        <v>177</v>
      </c>
      <c r="G29" s="2">
        <v>17.707832529990728</v>
      </c>
      <c r="H29" s="2">
        <v>-71.441985893509013</v>
      </c>
      <c r="I29" s="3" t="str">
        <f>HYPERLINK(CONCATENATE("https://faluhong.users.earthengine.app/view/hispaniola-lc-validation#id=LC28;lat=17.70783252999073;lon=-71.44198589350901;year=1999;bf=40;level=18;"), "landsat_time_series")</f>
        <v>landsat_time_series</v>
      </c>
      <c r="J29" s="3" t="str">
        <f>HYPERLINK(CONCATENATE("https://jstnbraaten.users.earthengine.app/view/landsat-timeseries-explorer#run=true;lon=-71.44198589350901;lat=17.70783252999073;from=01-01;to=12-31;index=NBR;rgb=NIR%2FRED%2FGREEN;chipwidth=1;"), "landsat_chips")</f>
        <v>landsat_chips</v>
      </c>
      <c r="K29" s="3" t="str">
        <f>HYPERLINK(CONCATENATE("https://livingatlas.arcgis.com/wayback/#ext=-71.44298589350902,17.70883252999073,-71.44098589350901,17.706832529990727"), "wayback")</f>
        <v>wayback</v>
      </c>
      <c r="L29" s="2" t="s">
        <v>18</v>
      </c>
      <c r="M29" s="5"/>
      <c r="N29" s="5" t="s">
        <v>18</v>
      </c>
    </row>
    <row r="30" spans="1:14" x14ac:dyDescent="0.35">
      <c r="A30" s="2">
        <v>29</v>
      </c>
      <c r="B30" s="2" t="s">
        <v>424</v>
      </c>
      <c r="C30" s="2" t="s">
        <v>46</v>
      </c>
      <c r="D30" s="2">
        <v>2022</v>
      </c>
      <c r="E30" s="2" t="s">
        <v>20</v>
      </c>
      <c r="F30" s="2">
        <v>249</v>
      </c>
      <c r="G30" s="2">
        <v>20.05825844472491</v>
      </c>
      <c r="H30" s="2">
        <v>-72.870284181772206</v>
      </c>
      <c r="I30" s="3" t="str">
        <f>HYPERLINK(CONCATENATE("https://faluhong.users.earthengine.app/view/hispaniola-lc-validation#id=LC29;lat=20.058258444724913;lon=-72.8702841817722;year=2022;bf=40;level=18;"), "landsat_time_series")</f>
        <v>landsat_time_series</v>
      </c>
      <c r="J30" s="3" t="str">
        <f>HYPERLINK(CONCATENATE("https://jstnbraaten.users.earthengine.app/view/landsat-timeseries-explorer#run=true;lon=-72.8702841817722;lat=20.058258444724913;from=01-01;to=12-31;index=NBR;rgb=NIR%2FRED%2FGREEN;chipwidth=1;"), "landsat_chips")</f>
        <v>landsat_chips</v>
      </c>
      <c r="K30" s="3" t="str">
        <f>HYPERLINK(CONCATENATE("https://livingatlas.arcgis.com/wayback/#ext=-72.87128418177221,20.059258444724914,-72.8692841817722,20.057258444724912"), "wayback")</f>
        <v>wayback</v>
      </c>
      <c r="L30" s="2" t="s">
        <v>13</v>
      </c>
      <c r="M30" s="5"/>
      <c r="N30" s="5" t="s">
        <v>21</v>
      </c>
    </row>
    <row r="31" spans="1:14" x14ac:dyDescent="0.35">
      <c r="A31" s="2">
        <v>30</v>
      </c>
      <c r="B31" s="2" t="s">
        <v>424</v>
      </c>
      <c r="C31" s="2" t="s">
        <v>47</v>
      </c>
      <c r="D31" s="2">
        <v>1999</v>
      </c>
      <c r="E31" s="2" t="s">
        <v>10</v>
      </c>
      <c r="F31" s="2">
        <v>34</v>
      </c>
      <c r="G31" s="2">
        <v>18.5384932749485</v>
      </c>
      <c r="H31" s="2">
        <v>-69.988408557426936</v>
      </c>
      <c r="I31" s="3" t="str">
        <f>HYPERLINK(CONCATENATE("https://faluhong.users.earthengine.app/view/hispaniola-lc-validation#id=LC30;lat=18.538493274948497;lon=-69.98840855742694;year=1999;bf=40;level=18;"), "landsat_time_series")</f>
        <v>landsat_time_series</v>
      </c>
      <c r="J31" s="3" t="str">
        <f>HYPERLINK(CONCATENATE("https://jstnbraaten.users.earthengine.app/view/landsat-timeseries-explorer#run=true;lon=-69.98840855742694;lat=18.538493274948497;from=01-01;to=12-31;index=NBR;rgb=NIR%2FRED%2FGREEN;chipwidth=1;"), "landsat_chips")</f>
        <v>landsat_chips</v>
      </c>
      <c r="K31" s="3" t="str">
        <f>HYPERLINK(CONCATENATE("https://livingatlas.arcgis.com/wayback/#ext=-69.98940855742694,18.539493274948498,-69.98740855742693,18.537493274948496"), "wayback")</f>
        <v>wayback</v>
      </c>
      <c r="L31" s="2" t="s">
        <v>11</v>
      </c>
      <c r="M31" s="5"/>
      <c r="N31" s="5" t="s">
        <v>11</v>
      </c>
    </row>
    <row r="32" spans="1:14" x14ac:dyDescent="0.35">
      <c r="A32" s="2">
        <v>31</v>
      </c>
      <c r="B32" s="2" t="s">
        <v>424</v>
      </c>
      <c r="C32" s="2" t="s">
        <v>48</v>
      </c>
      <c r="D32" s="2">
        <v>1999</v>
      </c>
      <c r="E32" s="2" t="s">
        <v>20</v>
      </c>
      <c r="F32" s="2">
        <v>4</v>
      </c>
      <c r="G32" s="2">
        <v>19.319806287024441</v>
      </c>
      <c r="H32" s="2">
        <v>-72.719793634352683</v>
      </c>
      <c r="I32" s="3" t="str">
        <f>HYPERLINK(CONCATENATE("https://faluhong.users.earthengine.app/view/hispaniola-lc-validation#id=LC31;lat=19.319806287024445;lon=-72.71979363435268;year=1999;bf=40;level=18;"), "landsat_time_series")</f>
        <v>landsat_time_series</v>
      </c>
      <c r="J32" s="3" t="str">
        <f>HYPERLINK(CONCATENATE("https://jstnbraaten.users.earthengine.app/view/landsat-timeseries-explorer#run=true;lon=-72.71979363435268;lat=19.319806287024445;from=01-01;to=12-31;index=NBR;rgb=NIR%2FRED%2FGREEN;chipwidth=1;"), "landsat_chips")</f>
        <v>landsat_chips</v>
      </c>
      <c r="K32" s="3" t="str">
        <f>HYPERLINK(CONCATENATE("https://livingatlas.arcgis.com/wayback/#ext=-72.72079363435269,19.320806287024446,-72.71879363435268,19.318806287024444"), "wayback")</f>
        <v>wayback</v>
      </c>
      <c r="L32" s="2" t="s">
        <v>24</v>
      </c>
      <c r="M32" s="5"/>
      <c r="N32" s="5" t="s">
        <v>24</v>
      </c>
    </row>
    <row r="33" spans="1:14" x14ac:dyDescent="0.35">
      <c r="A33" s="2">
        <v>32</v>
      </c>
      <c r="B33" s="2" t="s">
        <v>424</v>
      </c>
      <c r="C33" s="2" t="s">
        <v>49</v>
      </c>
      <c r="D33" s="2">
        <v>2013</v>
      </c>
      <c r="E33" s="2" t="s">
        <v>20</v>
      </c>
      <c r="F33" s="2">
        <v>195</v>
      </c>
      <c r="G33" s="2">
        <v>18.2498871382776</v>
      </c>
      <c r="H33" s="2">
        <v>-72.099129155919712</v>
      </c>
      <c r="I33" s="3" t="str">
        <f>HYPERLINK(CONCATENATE("https://faluhong.users.earthengine.app/view/hispaniola-lc-validation#id=LC32;lat=18.249887138277604;lon=-72.09912915591971;year=2013;bf=40;level=18;"), "landsat_time_series")</f>
        <v>landsat_time_series</v>
      </c>
      <c r="J33" s="3" t="str">
        <f>HYPERLINK(CONCATENATE("https://jstnbraaten.users.earthengine.app/view/landsat-timeseries-explorer#run=true;lon=-72.09912915591971;lat=18.249887138277604;from=01-01;to=12-31;index=NBR;rgb=NIR%2FRED%2FGREEN;chipwidth=1;"), "landsat_chips")</f>
        <v>landsat_chips</v>
      </c>
      <c r="K33" s="3" t="str">
        <f>HYPERLINK(CONCATENATE("https://livingatlas.arcgis.com/wayback/#ext=-72.10012915591972,18.250887138277605,-72.09812915591971,18.248887138277603"), "wayback")</f>
        <v>wayback</v>
      </c>
      <c r="L33" s="2" t="s">
        <v>13</v>
      </c>
      <c r="M33" s="5"/>
      <c r="N33" s="5" t="s">
        <v>13</v>
      </c>
    </row>
    <row r="34" spans="1:14" x14ac:dyDescent="0.35">
      <c r="A34" s="2">
        <v>33</v>
      </c>
      <c r="B34" s="2" t="s">
        <v>424</v>
      </c>
      <c r="C34" s="2" t="s">
        <v>50</v>
      </c>
      <c r="D34" s="2">
        <v>1996</v>
      </c>
      <c r="E34" s="2" t="s">
        <v>20</v>
      </c>
      <c r="F34" s="2">
        <v>20</v>
      </c>
      <c r="G34" s="2">
        <v>19.868878462035749</v>
      </c>
      <c r="H34" s="2">
        <v>-73.263298270232639</v>
      </c>
      <c r="I34" s="3" t="str">
        <f>HYPERLINK(CONCATENATE("https://faluhong.users.earthengine.app/view/hispaniola-lc-validation#id=LC33;lat=19.868878462035745;lon=-73.26329827023264;year=1996;bf=40;level=18;"), "landsat_time_series")</f>
        <v>landsat_time_series</v>
      </c>
      <c r="J34" s="3" t="str">
        <f>HYPERLINK(CONCATENATE("https://jstnbraaten.users.earthengine.app/view/landsat-timeseries-explorer#run=true;lon=-73.26329827023264;lat=19.868878462035745;from=01-01;to=12-31;index=NBR;rgb=NIR%2FRED%2FGREEN;chipwidth=1;"), "landsat_chips")</f>
        <v>landsat_chips</v>
      </c>
      <c r="K34" s="3" t="str">
        <f>HYPERLINK(CONCATENATE("https://livingatlas.arcgis.com/wayback/#ext=-73.26429827023264,19.869878462035746,-73.26229827023263,19.867878462035744"), "wayback")</f>
        <v>wayback</v>
      </c>
      <c r="L34" s="2" t="s">
        <v>921</v>
      </c>
      <c r="M34" s="5"/>
      <c r="N34" s="5" t="s">
        <v>921</v>
      </c>
    </row>
    <row r="35" spans="1:14" x14ac:dyDescent="0.35">
      <c r="A35" s="2">
        <v>34</v>
      </c>
      <c r="B35" s="2" t="s">
        <v>424</v>
      </c>
      <c r="C35" s="2" t="s">
        <v>51</v>
      </c>
      <c r="D35" s="2">
        <v>2003</v>
      </c>
      <c r="E35" s="2" t="s">
        <v>10</v>
      </c>
      <c r="F35" s="2">
        <v>-42</v>
      </c>
      <c r="G35" s="2">
        <v>18.554410720161378</v>
      </c>
      <c r="H35" s="2">
        <v>-71.700880515909418</v>
      </c>
      <c r="I35" s="3" t="str">
        <f>HYPERLINK(CONCATENATE("https://faluhong.users.earthengine.app/view/hispaniola-lc-validation#id=LC34;lat=18.55441072016138;lon=-71.70088051590942;year=2003;bf=40;level=18;"), "landsat_time_series")</f>
        <v>landsat_time_series</v>
      </c>
      <c r="J35" s="3" t="str">
        <f>HYPERLINK(CONCATENATE("https://jstnbraaten.users.earthengine.app/view/landsat-timeseries-explorer#run=true;lon=-71.70088051590942;lat=18.55441072016138;from=01-01;to=12-31;index=NBR;rgb=NIR%2FRED%2FGREEN;chipwidth=1;"), "landsat_chips")</f>
        <v>landsat_chips</v>
      </c>
      <c r="K35" s="3" t="str">
        <f>HYPERLINK(CONCATENATE("https://livingatlas.arcgis.com/wayback/#ext=-71.70188051590942,18.55541072016138,-71.69988051590941,18.553410720161377"), "wayback")</f>
        <v>wayback</v>
      </c>
      <c r="L35" s="2" t="s">
        <v>15</v>
      </c>
      <c r="M35" s="5"/>
      <c r="N35" s="5" t="s">
        <v>15</v>
      </c>
    </row>
    <row r="36" spans="1:14" x14ac:dyDescent="0.35">
      <c r="A36" s="2">
        <v>35</v>
      </c>
      <c r="B36" s="2" t="s">
        <v>424</v>
      </c>
      <c r="C36" s="2" t="s">
        <v>52</v>
      </c>
      <c r="D36" s="2">
        <v>2018</v>
      </c>
      <c r="E36" s="2" t="s">
        <v>20</v>
      </c>
      <c r="F36" s="2">
        <v>6</v>
      </c>
      <c r="G36" s="2">
        <v>18.580376894357649</v>
      </c>
      <c r="H36" s="2">
        <v>-73.925583482429857</v>
      </c>
      <c r="I36" s="3" t="str">
        <f>HYPERLINK(CONCATENATE("https://faluhong.users.earthengine.app/view/hispaniola-lc-validation#id=LC35;lat=18.580376894357652;lon=-73.92558348242986;year=2018;bf=40;level=18;"), "landsat_time_series")</f>
        <v>landsat_time_series</v>
      </c>
      <c r="J36" s="3" t="str">
        <f>HYPERLINK(CONCATENATE("https://jstnbraaten.users.earthengine.app/view/landsat-timeseries-explorer#run=true;lon=-73.92558348242986;lat=18.580376894357652;from=01-01;to=12-31;index=NBR;rgb=NIR%2FRED%2FGREEN;chipwidth=1;"), "landsat_chips")</f>
        <v>landsat_chips</v>
      </c>
      <c r="K36" s="3" t="str">
        <f>HYPERLINK(CONCATENATE("https://livingatlas.arcgis.com/wayback/#ext=-73.92658348242986,18.581376894357653,-73.92458348242985,18.57937689435765"), "wayback")</f>
        <v>wayback</v>
      </c>
      <c r="L36" s="2" t="s">
        <v>24</v>
      </c>
      <c r="M36" s="5"/>
      <c r="N36" s="5" t="s">
        <v>24</v>
      </c>
    </row>
    <row r="37" spans="1:14" x14ac:dyDescent="0.35">
      <c r="A37" s="2">
        <v>36</v>
      </c>
      <c r="B37" s="2" t="s">
        <v>424</v>
      </c>
      <c r="C37" s="2" t="s">
        <v>53</v>
      </c>
      <c r="D37" s="2">
        <v>2004</v>
      </c>
      <c r="E37" s="2" t="s">
        <v>10</v>
      </c>
      <c r="F37" s="2">
        <v>-42</v>
      </c>
      <c r="G37" s="2">
        <v>18.450998509376209</v>
      </c>
      <c r="H37" s="2">
        <v>-71.664392314951058</v>
      </c>
      <c r="I37" s="3" t="str">
        <f>HYPERLINK(CONCATENATE("https://faluhong.users.earthengine.app/view/hispaniola-lc-validation#id=LC36;lat=18.45099850937621;lon=-71.66439231495106;year=2004;bf=40;level=18;"), "landsat_time_series")</f>
        <v>landsat_time_series</v>
      </c>
      <c r="J37" s="3" t="str">
        <f>HYPERLINK(CONCATENATE("https://jstnbraaten.users.earthengine.app/view/landsat-timeseries-explorer#run=true;lon=-71.66439231495106;lat=18.45099850937621;from=01-01;to=12-31;index=NBR;rgb=NIR%2FRED%2FGREEN;chipwidth=1;"), "landsat_chips")</f>
        <v>landsat_chips</v>
      </c>
      <c r="K37" s="3" t="str">
        <f>HYPERLINK(CONCATENATE("https://livingatlas.arcgis.com/wayback/#ext=-71.66539231495106,18.45199850937621,-71.66339231495105,18.449998509376208"), "wayback")</f>
        <v>wayback</v>
      </c>
      <c r="L37" s="2" t="s">
        <v>15</v>
      </c>
      <c r="M37" s="5"/>
      <c r="N37" s="5" t="s">
        <v>15</v>
      </c>
    </row>
    <row r="38" spans="1:14" x14ac:dyDescent="0.35">
      <c r="A38" s="2">
        <v>37</v>
      </c>
      <c r="B38" s="2" t="s">
        <v>424</v>
      </c>
      <c r="C38" s="2" t="s">
        <v>54</v>
      </c>
      <c r="D38" s="2">
        <v>2003</v>
      </c>
      <c r="E38" s="2" t="s">
        <v>10</v>
      </c>
      <c r="F38" s="2">
        <v>1558</v>
      </c>
      <c r="G38" s="2">
        <v>18.995777036475602</v>
      </c>
      <c r="H38" s="2">
        <v>-70.696486194021745</v>
      </c>
      <c r="I38" s="3" t="str">
        <f>HYPERLINK(CONCATENATE("https://faluhong.users.earthengine.app/view/hispaniola-lc-validation#id=LC37;lat=18.9957770364756;lon=-70.69648619402174;year=2003;bf=40;level=18;"), "landsat_time_series")</f>
        <v>landsat_time_series</v>
      </c>
      <c r="J38" s="3" t="str">
        <f>HYPERLINK(CONCATENATE("https://jstnbraaten.users.earthengine.app/view/landsat-timeseries-explorer#run=true;lon=-70.69648619402174;lat=18.9957770364756;from=01-01;to=12-31;index=NBR;rgb=NIR%2FRED%2FGREEN;chipwidth=1;"), "landsat_chips")</f>
        <v>landsat_chips</v>
      </c>
      <c r="K38" s="3" t="str">
        <f>HYPERLINK(CONCATENATE("https://livingatlas.arcgis.com/wayback/#ext=-70.69748619402175,18.996777036475603,-70.69548619402174,18.9947770364756"), "wayback")</f>
        <v>wayback</v>
      </c>
      <c r="L38" s="2" t="s">
        <v>38</v>
      </c>
      <c r="M38" s="5"/>
      <c r="N38" s="5" t="s">
        <v>38</v>
      </c>
    </row>
    <row r="39" spans="1:14" x14ac:dyDescent="0.35">
      <c r="A39" s="2">
        <v>38</v>
      </c>
      <c r="B39" s="2" t="s">
        <v>424</v>
      </c>
      <c r="C39" s="2" t="s">
        <v>55</v>
      </c>
      <c r="D39" s="2">
        <v>2011</v>
      </c>
      <c r="E39" s="2" t="s">
        <v>10</v>
      </c>
      <c r="F39" s="2">
        <v>1463</v>
      </c>
      <c r="G39" s="2">
        <v>18.243648958909819</v>
      </c>
      <c r="H39" s="2">
        <v>-71.521710443301089</v>
      </c>
      <c r="I39" s="3" t="str">
        <f>HYPERLINK(CONCATENATE("https://faluhong.users.earthengine.app/view/hispaniola-lc-validation#id=LC38;lat=18.24364895890982;lon=-71.52171044330109;year=2011;bf=40;level=18;"), "landsat_time_series")</f>
        <v>landsat_time_series</v>
      </c>
      <c r="J39" s="3" t="str">
        <f>HYPERLINK(CONCATENATE("https://jstnbraaten.users.earthengine.app/view/landsat-timeseries-explorer#run=true;lon=-71.52171044330109;lat=18.24364895890982;from=01-01;to=12-31;index=NBR;rgb=NIR%2FRED%2FGREEN;chipwidth=1;"), "landsat_chips")</f>
        <v>landsat_chips</v>
      </c>
      <c r="K39" s="3" t="str">
        <f>HYPERLINK(CONCATENATE("https://livingatlas.arcgis.com/wayback/#ext=-71.5227104433011,18.24464895890982,-71.52071044330108,18.242648958909818"), "wayback")</f>
        <v>wayback</v>
      </c>
      <c r="L39" s="2" t="s">
        <v>38</v>
      </c>
      <c r="M39" s="5"/>
      <c r="N39" s="5" t="s">
        <v>38</v>
      </c>
    </row>
    <row r="40" spans="1:14" x14ac:dyDescent="0.35">
      <c r="A40" s="2">
        <v>39</v>
      </c>
      <c r="B40" s="2" t="s">
        <v>424</v>
      </c>
      <c r="C40" s="2" t="s">
        <v>56</v>
      </c>
      <c r="D40" s="2">
        <v>2018</v>
      </c>
      <c r="E40" s="2" t="s">
        <v>10</v>
      </c>
      <c r="F40" s="2">
        <v>108</v>
      </c>
      <c r="G40" s="2">
        <v>19.223763907772639</v>
      </c>
      <c r="H40" s="2">
        <v>-70.532660074591874</v>
      </c>
      <c r="I40" s="3" t="str">
        <f>HYPERLINK(CONCATENATE("https://faluhong.users.earthengine.app/view/hispaniola-lc-validation#id=LC39;lat=19.22376390777264;lon=-70.53266007459187;year=2018;bf=40;level=18;"), "landsat_time_series")</f>
        <v>landsat_time_series</v>
      </c>
      <c r="J40" s="3" t="str">
        <f>HYPERLINK(CONCATENATE("https://jstnbraaten.users.earthengine.app/view/landsat-timeseries-explorer#run=true;lon=-70.53266007459187;lat=19.22376390777264;from=01-01;to=12-31;index=NBR;rgb=NIR%2FRED%2FGREEN;chipwidth=1;"), "landsat_chips")</f>
        <v>landsat_chips</v>
      </c>
      <c r="K40" s="3" t="str">
        <f>HYPERLINK(CONCATENATE("https://livingatlas.arcgis.com/wayback/#ext=-70.53366007459188,19.22476390777264,-70.53166007459187,19.222763907772638"), "wayback")</f>
        <v>wayback</v>
      </c>
      <c r="L40" s="2" t="s">
        <v>11</v>
      </c>
      <c r="M40" s="5"/>
      <c r="N40" s="5" t="s">
        <v>11</v>
      </c>
    </row>
    <row r="41" spans="1:14" x14ac:dyDescent="0.35">
      <c r="A41" s="2">
        <v>40</v>
      </c>
      <c r="B41" s="2" t="s">
        <v>424</v>
      </c>
      <c r="C41" s="2" t="s">
        <v>57</v>
      </c>
      <c r="D41" s="2">
        <v>2005</v>
      </c>
      <c r="E41" s="2" t="s">
        <v>10</v>
      </c>
      <c r="F41" s="2">
        <v>166</v>
      </c>
      <c r="G41" s="2">
        <v>19.37023036378233</v>
      </c>
      <c r="H41" s="2">
        <v>-70.548303780787592</v>
      </c>
      <c r="I41" s="3" t="str">
        <f>HYPERLINK(CONCATENATE("https://faluhong.users.earthengine.app/view/hispaniola-lc-validation#id=LC40;lat=19.370230363782333;lon=-70.54830378078759;year=2005;bf=40;level=18;"), "landsat_time_series")</f>
        <v>landsat_time_series</v>
      </c>
      <c r="J41" s="3" t="str">
        <f>HYPERLINK(CONCATENATE("https://jstnbraaten.users.earthengine.app/view/landsat-timeseries-explorer#run=true;lon=-70.54830378078759;lat=19.370230363782333;from=01-01;to=12-31;index=NBR;rgb=NIR%2FRED%2FGREEN;chipwidth=1;"), "landsat_chips")</f>
        <v>landsat_chips</v>
      </c>
      <c r="K41" s="3" t="str">
        <f>HYPERLINK(CONCATENATE("https://livingatlas.arcgis.com/wayback/#ext=-70.5493037807876,19.371230363782335,-70.54730378078759,19.369230363782332"), "wayback")</f>
        <v>wayback</v>
      </c>
      <c r="L41" s="2" t="s">
        <v>21</v>
      </c>
      <c r="M41" s="5"/>
      <c r="N41" s="5" t="s">
        <v>21</v>
      </c>
    </row>
    <row r="42" spans="1:14" x14ac:dyDescent="0.35">
      <c r="A42" s="2">
        <v>41</v>
      </c>
      <c r="B42" s="2" t="s">
        <v>425</v>
      </c>
      <c r="C42" s="2" t="s">
        <v>58</v>
      </c>
      <c r="D42" s="2">
        <v>2022</v>
      </c>
      <c r="E42" s="2" t="s">
        <v>10</v>
      </c>
      <c r="F42" s="2">
        <v>1426</v>
      </c>
      <c r="G42" s="2">
        <v>19.210278987057041</v>
      </c>
      <c r="H42" s="2">
        <v>-71.111528568473716</v>
      </c>
      <c r="I42" s="3" t="str">
        <f>HYPERLINK(CONCATENATE("https://faluhong.users.earthengine.app/view/hispaniola-lc-validation#id=LC41;lat=19.210278987057038;lon=-71.11152856847372;year=2022;bf=40;level=18;"), "landsat_time_series")</f>
        <v>landsat_time_series</v>
      </c>
      <c r="J42" s="3" t="str">
        <f>HYPERLINK(CONCATENATE("https://jstnbraaten.users.earthengine.app/view/landsat-timeseries-explorer#run=true;lon=-71.11152856847372;lat=19.210278987057038;from=01-01;to=12-31;index=NBR;rgb=NIR%2FRED%2FGREEN;chipwidth=1;"), "landsat_chips")</f>
        <v>landsat_chips</v>
      </c>
      <c r="K42" s="3" t="str">
        <f>HYPERLINK(CONCATENATE("https://livingatlas.arcgis.com/wayback/#ext=-71.11252856847372,19.21127898705704,-71.11052856847371,19.209278987057036"), "wayback")</f>
        <v>wayback</v>
      </c>
      <c r="L42" s="2" t="s">
        <v>38</v>
      </c>
      <c r="M42" s="5"/>
      <c r="N42" s="5" t="s">
        <v>38</v>
      </c>
    </row>
    <row r="43" spans="1:14" x14ac:dyDescent="0.35">
      <c r="A43" s="2">
        <v>42</v>
      </c>
      <c r="B43" s="2" t="s">
        <v>425</v>
      </c>
      <c r="C43" s="2" t="s">
        <v>59</v>
      </c>
      <c r="D43" s="2">
        <v>1997</v>
      </c>
      <c r="E43" s="2" t="s">
        <v>20</v>
      </c>
      <c r="F43" s="2">
        <v>7</v>
      </c>
      <c r="G43" s="2">
        <v>18.427810448263731</v>
      </c>
      <c r="H43" s="2">
        <v>-72.71175687456703</v>
      </c>
      <c r="I43" s="3" t="str">
        <f>HYPERLINK(CONCATENATE("https://faluhong.users.earthengine.app/view/hispaniola-lc-validation#id=LC42;lat=18.427810448263727;lon=-72.71175687456703;year=1997;bf=40;level=18;"), "landsat_time_series")</f>
        <v>landsat_time_series</v>
      </c>
      <c r="J43" s="3" t="str">
        <f>HYPERLINK(CONCATENATE("https://jstnbraaten.users.earthengine.app/view/landsat-timeseries-explorer#run=true;lon=-72.71175687456703;lat=18.427810448263727;from=01-01;to=12-31;index=NBR;rgb=NIR%2FRED%2FGREEN;chipwidth=1;"), "landsat_chips")</f>
        <v>landsat_chips</v>
      </c>
      <c r="K43" s="3" t="str">
        <f>HYPERLINK(CONCATENATE("https://livingatlas.arcgis.com/wayback/#ext=-72.71275687456703,18.42881044826373,-72.71075687456702,18.426810448263726"), "wayback")</f>
        <v>wayback</v>
      </c>
      <c r="L43" s="2" t="s">
        <v>921</v>
      </c>
      <c r="M43" s="5"/>
      <c r="N43" s="5" t="s">
        <v>24</v>
      </c>
    </row>
    <row r="44" spans="1:14" x14ac:dyDescent="0.35">
      <c r="A44" s="2">
        <v>43</v>
      </c>
      <c r="B44" s="2" t="s">
        <v>425</v>
      </c>
      <c r="C44" s="2" t="s">
        <v>60</v>
      </c>
      <c r="D44" s="2">
        <v>2018</v>
      </c>
      <c r="E44" s="2" t="s">
        <v>10</v>
      </c>
      <c r="F44" s="2">
        <v>29</v>
      </c>
      <c r="G44" s="2">
        <v>18.0478235503939</v>
      </c>
      <c r="H44" s="2">
        <v>-71.715850696572915</v>
      </c>
      <c r="I44" s="3" t="str">
        <f>HYPERLINK(CONCATENATE("https://faluhong.users.earthengine.app/view/hispaniola-lc-validation#id=LC43;lat=18.047823550393897;lon=-71.71585069657291;year=2018;bf=40;level=18;"), "landsat_time_series")</f>
        <v>landsat_time_series</v>
      </c>
      <c r="J44" s="3" t="str">
        <f>HYPERLINK(CONCATENATE("https://jstnbraaten.users.earthengine.app/view/landsat-timeseries-explorer#run=true;lon=-71.71585069657291;lat=18.047823550393897;from=01-01;to=12-31;index=NBR;rgb=NIR%2FRED%2FGREEN;chipwidth=1;"), "landsat_chips")</f>
        <v>landsat_chips</v>
      </c>
      <c r="K44" s="3" t="str">
        <f>HYPERLINK(CONCATENATE("https://livingatlas.arcgis.com/wayback/#ext=-71.71685069657292,18.048823550393898,-71.71485069657291,18.046823550393896"), "wayback")</f>
        <v>wayback</v>
      </c>
      <c r="L44" s="2" t="s">
        <v>13</v>
      </c>
      <c r="M44" s="5"/>
      <c r="N44" s="5" t="s">
        <v>21</v>
      </c>
    </row>
    <row r="45" spans="1:14" x14ac:dyDescent="0.35">
      <c r="A45" s="2">
        <v>44</v>
      </c>
      <c r="B45" s="2" t="s">
        <v>425</v>
      </c>
      <c r="C45" s="2" t="s">
        <v>61</v>
      </c>
      <c r="D45" s="2">
        <v>2010</v>
      </c>
      <c r="E45" s="2" t="s">
        <v>10</v>
      </c>
      <c r="F45" s="2">
        <v>1115</v>
      </c>
      <c r="G45" s="2">
        <v>19.27047229626907</v>
      </c>
      <c r="H45" s="2">
        <v>-71.120500129080085</v>
      </c>
      <c r="I45" s="3" t="str">
        <f>HYPERLINK(CONCATENATE("https://faluhong.users.earthengine.app/view/hispaniola-lc-validation#id=LC44;lat=19.270472296269066;lon=-71.12050012908009;year=2010;bf=40;level=18;"), "landsat_time_series")</f>
        <v>landsat_time_series</v>
      </c>
      <c r="J45" s="3" t="str">
        <f>HYPERLINK(CONCATENATE("https://jstnbraaten.users.earthengine.app/view/landsat-timeseries-explorer#run=true;lon=-71.12050012908009;lat=19.270472296269066;from=01-01;to=12-31;index=NBR;rgb=NIR%2FRED%2FGREEN;chipwidth=1;"), "landsat_chips")</f>
        <v>landsat_chips</v>
      </c>
      <c r="K45" s="3" t="str">
        <f>HYPERLINK(CONCATENATE("https://livingatlas.arcgis.com/wayback/#ext=-71.12150012908009,19.271472296269067,-71.11950012908008,19.269472296269065"), "wayback")</f>
        <v>wayback</v>
      </c>
      <c r="L45" s="2" t="s">
        <v>38</v>
      </c>
      <c r="M45" s="5"/>
      <c r="N45" s="5" t="s">
        <v>38</v>
      </c>
    </row>
    <row r="46" spans="1:14" x14ac:dyDescent="0.35">
      <c r="A46" s="2">
        <v>45</v>
      </c>
      <c r="B46" s="2" t="s">
        <v>425</v>
      </c>
      <c r="C46" s="2" t="s">
        <v>62</v>
      </c>
      <c r="D46" s="2">
        <v>2015</v>
      </c>
      <c r="E46" s="2" t="s">
        <v>20</v>
      </c>
      <c r="F46" s="2">
        <v>539</v>
      </c>
      <c r="G46" s="2">
        <v>18.41885456464432</v>
      </c>
      <c r="H46" s="2">
        <v>-71.832867171283013</v>
      </c>
      <c r="I46" s="3" t="str">
        <f>HYPERLINK(CONCATENATE("https://faluhong.users.earthengine.app/view/hispaniola-lc-validation#id=LC45;lat=18.41885456464432;lon=-71.83286717128301;year=2015;bf=40;level=18;"), "landsat_time_series")</f>
        <v>landsat_time_series</v>
      </c>
      <c r="J46" s="3" t="str">
        <f>HYPERLINK(CONCATENATE("https://jstnbraaten.users.earthengine.app/view/landsat-timeseries-explorer#run=true;lon=-71.83286717128301;lat=18.41885456464432;from=01-01;to=12-31;index=NBR;rgb=NIR%2FRED%2FGREEN;chipwidth=1;"), "landsat_chips")</f>
        <v>landsat_chips</v>
      </c>
      <c r="K46" s="3" t="str">
        <f>HYPERLINK(CONCATENATE("https://livingatlas.arcgis.com/wayback/#ext=-71.83386717128302,18.41985456464432,-71.83186717128301,18.41785456464432"), "wayback")</f>
        <v>wayback</v>
      </c>
      <c r="L46" s="2" t="s">
        <v>21</v>
      </c>
      <c r="M46" s="5"/>
      <c r="N46" s="5" t="s">
        <v>13</v>
      </c>
    </row>
    <row r="47" spans="1:14" x14ac:dyDescent="0.35">
      <c r="A47" s="2">
        <v>46</v>
      </c>
      <c r="B47" s="2" t="s">
        <v>425</v>
      </c>
      <c r="C47" s="2" t="s">
        <v>63</v>
      </c>
      <c r="D47" s="2">
        <v>2008</v>
      </c>
      <c r="E47" s="2" t="s">
        <v>10</v>
      </c>
      <c r="F47" s="2">
        <v>243</v>
      </c>
      <c r="G47" s="2">
        <v>17.860522335568639</v>
      </c>
      <c r="H47" s="2">
        <v>-71.587328876994562</v>
      </c>
      <c r="I47" s="3" t="str">
        <f>HYPERLINK(CONCATENATE("https://faluhong.users.earthengine.app/view/hispaniola-lc-validation#id=LC46;lat=17.860522335568636;lon=-71.58732887699456;year=2008;bf=40;level=18;"), "landsat_time_series")</f>
        <v>landsat_time_series</v>
      </c>
      <c r="J47" s="3" t="str">
        <f>HYPERLINK(CONCATENATE("https://jstnbraaten.users.earthengine.app/view/landsat-timeseries-explorer#run=true;lon=-71.58732887699456;lat=17.860522335568636;from=01-01;to=12-31;index=NBR;rgb=NIR%2FRED%2FGREEN;chipwidth=1;"), "landsat_chips")</f>
        <v>landsat_chips</v>
      </c>
      <c r="K47" s="3" t="str">
        <f>HYPERLINK(CONCATENATE("https://livingatlas.arcgis.com/wayback/#ext=-71.58832887699457,17.861522335568637,-71.58632887699456,17.859522335568634"), "wayback")</f>
        <v>wayback</v>
      </c>
      <c r="L47" s="2" t="s">
        <v>13</v>
      </c>
      <c r="M47" s="5"/>
      <c r="N47" s="5" t="s">
        <v>13</v>
      </c>
    </row>
    <row r="48" spans="1:14" x14ac:dyDescent="0.35">
      <c r="A48" s="2">
        <v>47</v>
      </c>
      <c r="B48" s="2" t="s">
        <v>425</v>
      </c>
      <c r="C48" s="2" t="s">
        <v>64</v>
      </c>
      <c r="D48" s="2">
        <v>2014</v>
      </c>
      <c r="E48" s="2" t="s">
        <v>10</v>
      </c>
      <c r="F48" s="2">
        <v>121</v>
      </c>
      <c r="G48" s="2">
        <v>18.561129301631642</v>
      </c>
      <c r="H48" s="2">
        <v>-70.135267525872834</v>
      </c>
      <c r="I48" s="3" t="str">
        <f>HYPERLINK(CONCATENATE("https://faluhong.users.earthengine.app/view/hispaniola-lc-validation#id=LC47;lat=18.561129301631638;lon=-70.13526752587283;year=2014;bf=40;level=18;"), "landsat_time_series")</f>
        <v>landsat_time_series</v>
      </c>
      <c r="J48" s="3" t="str">
        <f>HYPERLINK(CONCATENATE("https://jstnbraaten.users.earthengine.app/view/landsat-timeseries-explorer#run=true;lon=-70.13526752587283;lat=18.561129301631638;from=01-01;to=12-31;index=NBR;rgb=NIR%2FRED%2FGREEN;chipwidth=1;"), "landsat_chips")</f>
        <v>landsat_chips</v>
      </c>
      <c r="K48" s="3" t="str">
        <f>HYPERLINK(CONCATENATE("https://livingatlas.arcgis.com/wayback/#ext=-70.13626752587284,18.56212930163164,-70.13426752587283,18.560129301631637"), "wayback")</f>
        <v>wayback</v>
      </c>
      <c r="L48" s="2" t="s">
        <v>921</v>
      </c>
      <c r="M48" s="5"/>
      <c r="N48" s="5" t="s">
        <v>921</v>
      </c>
    </row>
    <row r="49" spans="1:14" x14ac:dyDescent="0.35">
      <c r="A49" s="2">
        <v>48</v>
      </c>
      <c r="B49" s="2" t="s">
        <v>425</v>
      </c>
      <c r="C49" s="2" t="s">
        <v>65</v>
      </c>
      <c r="D49" s="2">
        <v>2002</v>
      </c>
      <c r="E49" s="2" t="s">
        <v>10</v>
      </c>
      <c r="F49" s="2">
        <v>34</v>
      </c>
      <c r="G49" s="2">
        <v>19.17572808589378</v>
      </c>
      <c r="H49" s="2">
        <v>-70.067017927012799</v>
      </c>
      <c r="I49" s="3" t="str">
        <f>HYPERLINK(CONCATENATE("https://faluhong.users.earthengine.app/view/hispaniola-lc-validation#id=LC48;lat=19.175728085893784;lon=-70.0670179270128;year=2002;bf=40;level=18;"), "landsat_time_series")</f>
        <v>landsat_time_series</v>
      </c>
      <c r="J49" s="3" t="str">
        <f>HYPERLINK(CONCATENATE("https://jstnbraaten.users.earthengine.app/view/landsat-timeseries-explorer#run=true;lon=-70.0670179270128;lat=19.175728085893784;from=01-01;to=12-31;index=NBR;rgb=NIR%2FRED%2FGREEN;chipwidth=1;"), "landsat_chips")</f>
        <v>landsat_chips</v>
      </c>
      <c r="K49" s="3" t="str">
        <f>HYPERLINK(CONCATENATE("https://livingatlas.arcgis.com/wayback/#ext=-70.0680179270128,19.176728085893785,-70.0660179270128,19.174728085893783"), "wayback")</f>
        <v>wayback</v>
      </c>
      <c r="L49" s="2" t="s">
        <v>921</v>
      </c>
      <c r="M49" s="5"/>
      <c r="N49" s="5" t="s">
        <v>921</v>
      </c>
    </row>
    <row r="50" spans="1:14" x14ac:dyDescent="0.35">
      <c r="A50" s="2">
        <v>49</v>
      </c>
      <c r="B50" s="2" t="s">
        <v>425</v>
      </c>
      <c r="C50" s="2" t="s">
        <v>66</v>
      </c>
      <c r="D50" s="2">
        <v>2002</v>
      </c>
      <c r="E50" s="2" t="s">
        <v>10</v>
      </c>
      <c r="F50" s="2">
        <v>1657</v>
      </c>
      <c r="G50" s="2">
        <v>18.63619721219489</v>
      </c>
      <c r="H50" s="2">
        <v>-71.469410711475234</v>
      </c>
      <c r="I50" s="3" t="str">
        <f>HYPERLINK(CONCATENATE("https://faluhong.users.earthengine.app/view/hispaniola-lc-validation#id=LC49;lat=18.636197212194887;lon=-71.46941071147523;year=2002;bf=40;level=18;"), "landsat_time_series")</f>
        <v>landsat_time_series</v>
      </c>
      <c r="J50" s="3" t="str">
        <f>HYPERLINK(CONCATENATE("https://jstnbraaten.users.earthengine.app/view/landsat-timeseries-explorer#run=true;lon=-71.46941071147523;lat=18.636197212194887;from=01-01;to=12-31;index=NBR;rgb=NIR%2FRED%2FGREEN;chipwidth=1;"), "landsat_chips")</f>
        <v>landsat_chips</v>
      </c>
      <c r="K50" s="3" t="str">
        <f>HYPERLINK(CONCATENATE("https://livingatlas.arcgis.com/wayback/#ext=-71.47041071147524,18.637197212194888,-71.46841071147523,18.635197212194885"), "wayback")</f>
        <v>wayback</v>
      </c>
      <c r="L50" s="2" t="s">
        <v>38</v>
      </c>
      <c r="M50" s="5"/>
      <c r="N50" s="5" t="s">
        <v>38</v>
      </c>
    </row>
    <row r="51" spans="1:14" x14ac:dyDescent="0.35">
      <c r="A51" s="2">
        <v>50</v>
      </c>
      <c r="B51" s="2" t="s">
        <v>425</v>
      </c>
      <c r="C51" s="2" t="s">
        <v>67</v>
      </c>
      <c r="D51" s="2">
        <v>2012</v>
      </c>
      <c r="E51" s="2" t="s">
        <v>20</v>
      </c>
      <c r="F51" s="2">
        <v>272</v>
      </c>
      <c r="G51" s="2">
        <v>19.534689098885838</v>
      </c>
      <c r="H51" s="2">
        <v>-72.007446280397858</v>
      </c>
      <c r="I51" s="3" t="str">
        <f>HYPERLINK(CONCATENATE("https://faluhong.users.earthengine.app/view/hispaniola-lc-validation#id=LC50;lat=19.534689098885842;lon=-72.00744628039786;year=2012;bf=40;level=18;"), "landsat_time_series")</f>
        <v>landsat_time_series</v>
      </c>
      <c r="J51" s="3" t="str">
        <f>HYPERLINK(CONCATENATE("https://jstnbraaten.users.earthengine.app/view/landsat-timeseries-explorer#run=true;lon=-72.00744628039786;lat=19.534689098885842;from=01-01;to=12-31;index=NBR;rgb=NIR%2FRED%2FGREEN;chipwidth=1;"), "landsat_chips")</f>
        <v>landsat_chips</v>
      </c>
      <c r="K51" s="3" t="str">
        <f>HYPERLINK(CONCATENATE("https://livingatlas.arcgis.com/wayback/#ext=-72.00844628039786,19.535689098885843,-72.00644628039785,19.53368909888584"), "wayback")</f>
        <v>wayback</v>
      </c>
      <c r="L51" s="2" t="s">
        <v>21</v>
      </c>
      <c r="M51" s="5"/>
      <c r="N51" s="5" t="s">
        <v>21</v>
      </c>
    </row>
    <row r="52" spans="1:14" x14ac:dyDescent="0.35">
      <c r="A52" s="2">
        <v>51</v>
      </c>
      <c r="B52" s="2" t="s">
        <v>425</v>
      </c>
      <c r="C52" s="2" t="s">
        <v>68</v>
      </c>
      <c r="D52" s="2">
        <v>2019</v>
      </c>
      <c r="E52" s="2" t="s">
        <v>10</v>
      </c>
      <c r="F52" s="2">
        <v>60</v>
      </c>
      <c r="G52" s="2">
        <v>18.438511582217028</v>
      </c>
      <c r="H52" s="2">
        <v>-70.725094389595085</v>
      </c>
      <c r="I52" s="3" t="str">
        <f>HYPERLINK(CONCATENATE("https://faluhong.users.earthengine.app/view/hispaniola-lc-validation#id=LC51;lat=18.43851158221703;lon=-70.72509438959509;year=2019;bf=40;level=18;"), "landsat_time_series")</f>
        <v>landsat_time_series</v>
      </c>
      <c r="J52" s="3" t="str">
        <f>HYPERLINK(CONCATENATE("https://jstnbraaten.users.earthengine.app/view/landsat-timeseries-explorer#run=true;lon=-70.72509438959509;lat=18.43851158221703;from=01-01;to=12-31;index=NBR;rgb=NIR%2FRED%2FGREEN;chipwidth=1;"), "landsat_chips")</f>
        <v>landsat_chips</v>
      </c>
      <c r="K52" s="3" t="str">
        <f>HYPERLINK(CONCATENATE("https://livingatlas.arcgis.com/wayback/#ext=-70.72609438959509,18.43951158221703,-70.72409438959508,18.437511582217027"), "wayback")</f>
        <v>wayback</v>
      </c>
      <c r="L52" s="2" t="s">
        <v>921</v>
      </c>
      <c r="M52" s="5" t="b">
        <v>1</v>
      </c>
      <c r="N52" s="5" t="s">
        <v>21</v>
      </c>
    </row>
    <row r="53" spans="1:14" x14ac:dyDescent="0.35">
      <c r="A53" s="2">
        <v>52</v>
      </c>
      <c r="B53" s="2" t="s">
        <v>425</v>
      </c>
      <c r="C53" s="2" t="s">
        <v>69</v>
      </c>
      <c r="D53" s="2">
        <v>2005</v>
      </c>
      <c r="E53" s="2" t="s">
        <v>10</v>
      </c>
      <c r="F53" s="2">
        <v>63</v>
      </c>
      <c r="G53" s="2">
        <v>18.49147180712971</v>
      </c>
      <c r="H53" s="2">
        <v>-68.871425605446262</v>
      </c>
      <c r="I53" s="3" t="str">
        <f>HYPERLINK(CONCATENATE("https://faluhong.users.earthengine.app/view/hispaniola-lc-validation#id=LC52;lat=18.491471807129706;lon=-68.87142560544626;year=2005;bf=40;level=18;"), "landsat_time_series")</f>
        <v>landsat_time_series</v>
      </c>
      <c r="J53" s="3" t="str">
        <f>HYPERLINK(CONCATENATE("https://jstnbraaten.users.earthengine.app/view/landsat-timeseries-explorer#run=true;lon=-68.87142560544626;lat=18.491471807129706;from=01-01;to=12-31;index=NBR;rgb=NIR%2FRED%2FGREEN;chipwidth=1;"), "landsat_chips")</f>
        <v>landsat_chips</v>
      </c>
      <c r="K53" s="3" t="str">
        <f>HYPERLINK(CONCATENATE("https://livingatlas.arcgis.com/wayback/#ext=-68.87242560544627,18.492471807129707,-68.87042560544626,18.490471807129705"), "wayback")</f>
        <v>wayback</v>
      </c>
      <c r="L53" s="2" t="s">
        <v>921</v>
      </c>
      <c r="M53" s="5"/>
      <c r="N53" s="5" t="s">
        <v>921</v>
      </c>
    </row>
    <row r="54" spans="1:14" x14ac:dyDescent="0.35">
      <c r="A54" s="2">
        <v>53</v>
      </c>
      <c r="B54" s="2" t="s">
        <v>425</v>
      </c>
      <c r="C54" s="2" t="s">
        <v>70</v>
      </c>
      <c r="D54" s="2">
        <v>2013</v>
      </c>
      <c r="E54" s="2" t="s">
        <v>20</v>
      </c>
      <c r="F54" s="2">
        <v>500</v>
      </c>
      <c r="G54" s="2">
        <v>18.291967067479352</v>
      </c>
      <c r="H54" s="2">
        <v>-72.950234615563758</v>
      </c>
      <c r="I54" s="3" t="str">
        <f>HYPERLINK(CONCATENATE("https://faluhong.users.earthengine.app/view/hispaniola-lc-validation#id=LC53;lat=18.291967067479348;lon=-72.95023461556376;year=2013;bf=40;level=18;"), "landsat_time_series")</f>
        <v>landsat_time_series</v>
      </c>
      <c r="J54" s="3" t="str">
        <f>HYPERLINK(CONCATENATE("https://jstnbraaten.users.earthengine.app/view/landsat-timeseries-explorer#run=true;lon=-72.95023461556376;lat=18.291967067479348;from=01-01;to=12-31;index=NBR;rgb=NIR%2FRED%2FGREEN;chipwidth=1;"), "landsat_chips")</f>
        <v>landsat_chips</v>
      </c>
      <c r="K54" s="3" t="str">
        <f>HYPERLINK(CONCATENATE("https://livingatlas.arcgis.com/wayback/#ext=-72.95123461556376,18.29296706747935,-72.94923461556375,18.290967067479347"), "wayback")</f>
        <v>wayback</v>
      </c>
      <c r="L54" s="2" t="s">
        <v>921</v>
      </c>
      <c r="M54" s="5"/>
      <c r="N54" s="5" t="s">
        <v>921</v>
      </c>
    </row>
    <row r="55" spans="1:14" x14ac:dyDescent="0.35">
      <c r="A55" s="2">
        <v>54</v>
      </c>
      <c r="B55" s="2" t="s">
        <v>425</v>
      </c>
      <c r="C55" s="2" t="s">
        <v>71</v>
      </c>
      <c r="D55" s="2">
        <v>2022</v>
      </c>
      <c r="E55" s="2" t="s">
        <v>10</v>
      </c>
      <c r="F55" s="2">
        <v>61</v>
      </c>
      <c r="G55" s="2">
        <v>17.624611870590279</v>
      </c>
      <c r="H55" s="2">
        <v>-71.416536152697503</v>
      </c>
      <c r="I55" s="3" t="str">
        <f>HYPERLINK(CONCATENATE("https://faluhong.users.earthengine.app/view/hispaniola-lc-validation#id=LC54;lat=17.62461187059028;lon=-71.4165361526975;year=2022;bf=40;level=18;"), "landsat_time_series")</f>
        <v>landsat_time_series</v>
      </c>
      <c r="J55" s="3" t="str">
        <f>HYPERLINK(CONCATENATE("https://jstnbraaten.users.earthengine.app/view/landsat-timeseries-explorer#run=true;lon=-71.4165361526975;lat=17.62461187059028;from=01-01;to=12-31;index=NBR;rgb=NIR%2FRED%2FGREEN;chipwidth=1;"), "landsat_chips")</f>
        <v>landsat_chips</v>
      </c>
      <c r="K55" s="3" t="str">
        <f>HYPERLINK(CONCATENATE("https://livingatlas.arcgis.com/wayback/#ext=-71.41753615269751,17.62561187059028,-71.4155361526975,17.623611870590278"), "wayback")</f>
        <v>wayback</v>
      </c>
      <c r="L55" s="2" t="s">
        <v>18</v>
      </c>
      <c r="M55" s="5"/>
      <c r="N55" s="5" t="s">
        <v>18</v>
      </c>
    </row>
    <row r="56" spans="1:14" x14ac:dyDescent="0.35">
      <c r="A56" s="2">
        <v>55</v>
      </c>
      <c r="B56" s="2" t="s">
        <v>425</v>
      </c>
      <c r="C56" s="2" t="s">
        <v>72</v>
      </c>
      <c r="D56" s="2">
        <v>2020</v>
      </c>
      <c r="E56" s="2" t="s">
        <v>10</v>
      </c>
      <c r="F56" s="2">
        <v>200</v>
      </c>
      <c r="G56" s="2">
        <v>19.385819132663411</v>
      </c>
      <c r="H56" s="2">
        <v>-70.355512699488472</v>
      </c>
      <c r="I56" s="3" t="str">
        <f>HYPERLINK(CONCATENATE("https://faluhong.users.earthengine.app/view/hispaniola-lc-validation#id=LC55;lat=19.38581913266341;lon=-70.35551269948847;year=2020;bf=40;level=18;"), "landsat_time_series")</f>
        <v>landsat_time_series</v>
      </c>
      <c r="J56" s="3" t="str">
        <f>HYPERLINK(CONCATENATE("https://jstnbraaten.users.earthengine.app/view/landsat-timeseries-explorer#run=true;lon=-70.35551269948847;lat=19.38581913266341;from=01-01;to=12-31;index=NBR;rgb=NIR%2FRED%2FGREEN;chipwidth=1;"), "landsat_chips")</f>
        <v>landsat_chips</v>
      </c>
      <c r="K56" s="3" t="str">
        <f>HYPERLINK(CONCATENATE("https://livingatlas.arcgis.com/wayback/#ext=-70.35651269948848,19.386819132663412,-70.35451269948847,19.38481913266341"), "wayback")</f>
        <v>wayback</v>
      </c>
      <c r="L56" s="2" t="s">
        <v>21</v>
      </c>
      <c r="M56" s="5"/>
      <c r="N56" s="5" t="s">
        <v>21</v>
      </c>
    </row>
    <row r="57" spans="1:14" x14ac:dyDescent="0.35">
      <c r="A57" s="2">
        <v>56</v>
      </c>
      <c r="B57" s="2" t="s">
        <v>425</v>
      </c>
      <c r="C57" s="2" t="s">
        <v>73</v>
      </c>
      <c r="D57" s="2">
        <v>2022</v>
      </c>
      <c r="E57" s="2" t="s">
        <v>10</v>
      </c>
      <c r="F57" s="2">
        <v>0</v>
      </c>
      <c r="G57" s="2">
        <v>18.64413485525936</v>
      </c>
      <c r="H57" s="2">
        <v>-68.377305466039601</v>
      </c>
      <c r="I57" s="3" t="str">
        <f>HYPERLINK(CONCATENATE("https://faluhong.users.earthengine.app/view/hispaniola-lc-validation#id=LC56;lat=18.644134855259363;lon=-68.3773054660396;year=2022;bf=40;level=18;"), "landsat_time_series")</f>
        <v>landsat_time_series</v>
      </c>
      <c r="J57" s="3" t="str">
        <f>HYPERLINK(CONCATENATE("https://jstnbraaten.users.earthengine.app/view/landsat-timeseries-explorer#run=true;lon=-68.3773054660396;lat=18.644134855259363;from=01-01;to=12-31;index=NBR;rgb=NIR%2FRED%2FGREEN;chipwidth=1;"), "landsat_chips")</f>
        <v>landsat_chips</v>
      </c>
      <c r="K57" s="3" t="str">
        <f>HYPERLINK(CONCATENATE("https://livingatlas.arcgis.com/wayback/#ext=-68.3783054660396,18.645134855259364,-68.3763054660396,18.643134855259362"), "wayback")</f>
        <v>wayback</v>
      </c>
      <c r="L57" s="2" t="s">
        <v>15</v>
      </c>
      <c r="M57" s="5"/>
      <c r="N57" s="5" t="s">
        <v>15</v>
      </c>
    </row>
    <row r="58" spans="1:14" x14ac:dyDescent="0.35">
      <c r="A58" s="2">
        <v>57</v>
      </c>
      <c r="B58" s="2" t="s">
        <v>425</v>
      </c>
      <c r="C58" s="2" t="s">
        <v>74</v>
      </c>
      <c r="D58" s="2">
        <v>2017</v>
      </c>
      <c r="E58" s="2" t="s">
        <v>10</v>
      </c>
      <c r="F58" s="2">
        <v>402</v>
      </c>
      <c r="G58" s="2">
        <v>19.27470884503391</v>
      </c>
      <c r="H58" s="2">
        <v>-69.307840152773991</v>
      </c>
      <c r="I58" s="3" t="str">
        <f>HYPERLINK(CONCATENATE("https://faluhong.users.earthengine.app/view/hispaniola-lc-validation#id=LC57;lat=19.27470884503391;lon=-69.30784015277399;year=2017;bf=40;level=18;"), "landsat_time_series")</f>
        <v>landsat_time_series</v>
      </c>
      <c r="J58" s="3" t="str">
        <f>HYPERLINK(CONCATENATE("https://jstnbraaten.users.earthengine.app/view/landsat-timeseries-explorer#run=true;lon=-69.30784015277399;lat=19.27470884503391;from=01-01;to=12-31;index=NBR;rgb=NIR%2FRED%2FGREEN;chipwidth=1;"), "landsat_chips")</f>
        <v>landsat_chips</v>
      </c>
      <c r="K58" s="3" t="str">
        <f>HYPERLINK(CONCATENATE("https://livingatlas.arcgis.com/wayback/#ext=-69.308840152774,19.27570884503391,-69.30684015277399,19.27370884503391"), "wayback")</f>
        <v>wayback</v>
      </c>
      <c r="L58" s="2" t="s">
        <v>21</v>
      </c>
      <c r="M58" s="5"/>
      <c r="N58" s="5" t="s">
        <v>921</v>
      </c>
    </row>
    <row r="59" spans="1:14" x14ac:dyDescent="0.35">
      <c r="A59" s="2">
        <v>58</v>
      </c>
      <c r="B59" s="2" t="s">
        <v>425</v>
      </c>
      <c r="C59" s="2" t="s">
        <v>75</v>
      </c>
      <c r="D59" s="2">
        <v>2008</v>
      </c>
      <c r="E59" s="2" t="s">
        <v>10</v>
      </c>
      <c r="F59" s="2">
        <v>518</v>
      </c>
      <c r="G59" s="2">
        <v>18.791906588706141</v>
      </c>
      <c r="H59" s="2">
        <v>-70.234533728961125</v>
      </c>
      <c r="I59" s="3" t="str">
        <f>HYPERLINK(CONCATENATE("https://faluhong.users.earthengine.app/view/hispaniola-lc-validation#id=LC58;lat=18.791906588706144;lon=-70.23453372896113;year=2008;bf=40;level=18;"), "landsat_time_series")</f>
        <v>landsat_time_series</v>
      </c>
      <c r="J59" s="3" t="str">
        <f>HYPERLINK(CONCATENATE("https://jstnbraaten.users.earthengine.app/view/landsat-timeseries-explorer#run=true;lon=-70.23453372896113;lat=18.791906588706144;from=01-01;to=12-31;index=NBR;rgb=NIR%2FRED%2FGREEN;chipwidth=1;"), "landsat_chips")</f>
        <v>landsat_chips</v>
      </c>
      <c r="K59" s="3" t="str">
        <f>HYPERLINK(CONCATENATE("https://livingatlas.arcgis.com/wayback/#ext=-70.23553372896113,18.792906588706145,-70.23353372896112,18.790906588706143"), "wayback")</f>
        <v>wayback</v>
      </c>
      <c r="L59" s="2" t="s">
        <v>21</v>
      </c>
      <c r="M59" s="5"/>
      <c r="N59" s="5" t="s">
        <v>21</v>
      </c>
    </row>
    <row r="60" spans="1:14" x14ac:dyDescent="0.35">
      <c r="A60" s="2">
        <v>59</v>
      </c>
      <c r="B60" s="2" t="s">
        <v>425</v>
      </c>
      <c r="C60" s="2" t="s">
        <v>76</v>
      </c>
      <c r="D60" s="2">
        <v>2005</v>
      </c>
      <c r="E60" s="2" t="s">
        <v>20</v>
      </c>
      <c r="F60" s="2">
        <v>365</v>
      </c>
      <c r="G60" s="2">
        <v>19.246405509300189</v>
      </c>
      <c r="H60" s="2">
        <v>-72.006895266010076</v>
      </c>
      <c r="I60" s="3" t="str">
        <f>HYPERLINK(CONCATENATE("https://faluhong.users.earthengine.app/view/hispaniola-lc-validation#id=LC59;lat=19.24640550930019;lon=-72.00689526601008;year=2005;bf=40;level=18;"), "landsat_time_series")</f>
        <v>landsat_time_series</v>
      </c>
      <c r="J60" s="3" t="str">
        <f>HYPERLINK(CONCATENATE("https://jstnbraaten.users.earthengine.app/view/landsat-timeseries-explorer#run=true;lon=-72.00689526601008;lat=19.24640550930019;from=01-01;to=12-31;index=NBR;rgb=NIR%2FRED%2FGREEN;chipwidth=1;"), "landsat_chips")</f>
        <v>landsat_chips</v>
      </c>
      <c r="K60" s="3" t="str">
        <f>HYPERLINK(CONCATENATE("https://livingatlas.arcgis.com/wayback/#ext=-72.00789526601008,19.24740550930019,-72.00589526601007,19.245405509300188"), "wayback")</f>
        <v>wayback</v>
      </c>
      <c r="L60" s="2" t="s">
        <v>921</v>
      </c>
      <c r="M60" s="5"/>
      <c r="N60" s="5" t="s">
        <v>921</v>
      </c>
    </row>
    <row r="61" spans="1:14" x14ac:dyDescent="0.35">
      <c r="A61" s="2">
        <v>60</v>
      </c>
      <c r="B61" s="2" t="s">
        <v>425</v>
      </c>
      <c r="C61" s="2" t="s">
        <v>77</v>
      </c>
      <c r="D61" s="2">
        <v>2004</v>
      </c>
      <c r="E61" s="2" t="s">
        <v>10</v>
      </c>
      <c r="F61" s="2">
        <v>14</v>
      </c>
      <c r="G61" s="2">
        <v>18.261601802935338</v>
      </c>
      <c r="H61" s="2">
        <v>-68.691785385674493</v>
      </c>
      <c r="I61" s="3" t="str">
        <f>HYPERLINK(CONCATENATE("https://faluhong.users.earthengine.app/view/hispaniola-lc-validation#id=LC60;lat=18.26160180293534;lon=-68.69178538567449;year=2004;bf=40;level=18;"), "landsat_time_series")</f>
        <v>landsat_time_series</v>
      </c>
      <c r="J61" s="3" t="str">
        <f>HYPERLINK(CONCATENATE("https://jstnbraaten.users.earthengine.app/view/landsat-timeseries-explorer#run=true;lon=-68.69178538567449;lat=18.26160180293534;from=01-01;to=12-31;index=NBR;rgb=NIR%2FRED%2FGREEN;chipwidth=1;"), "landsat_chips")</f>
        <v>landsat_chips</v>
      </c>
      <c r="K61" s="3" t="str">
        <f>HYPERLINK(CONCATENATE("https://livingatlas.arcgis.com/wayback/#ext=-68.6927853856745,18.26260180293534,-68.69078538567449,18.260601802935337"), "wayback")</f>
        <v>wayback</v>
      </c>
      <c r="L61" s="2" t="s">
        <v>18</v>
      </c>
      <c r="M61" s="5"/>
      <c r="N61" s="5" t="s">
        <v>18</v>
      </c>
    </row>
    <row r="62" spans="1:14" x14ac:dyDescent="0.35">
      <c r="A62" s="2">
        <v>61</v>
      </c>
      <c r="B62" s="2" t="s">
        <v>425</v>
      </c>
      <c r="C62" s="2" t="s">
        <v>78</v>
      </c>
      <c r="D62" s="2">
        <v>2013</v>
      </c>
      <c r="E62" s="2" t="s">
        <v>20</v>
      </c>
      <c r="F62" s="2">
        <v>6</v>
      </c>
      <c r="G62" s="2">
        <v>18.61228667143622</v>
      </c>
      <c r="H62" s="2">
        <v>-74.424615309689898</v>
      </c>
      <c r="I62" s="3" t="str">
        <f>HYPERLINK(CONCATENATE("https://faluhong.users.earthengine.app/view/hispaniola-lc-validation#id=LC61;lat=18.612286671436223;lon=-74.4246153096899;year=2013;bf=40;level=18;"), "landsat_time_series")</f>
        <v>landsat_time_series</v>
      </c>
      <c r="J62" s="3" t="str">
        <f>HYPERLINK(CONCATENATE("https://jstnbraaten.users.earthengine.app/view/landsat-timeseries-explorer#run=true;lon=-74.4246153096899;lat=18.612286671436223;from=01-01;to=12-31;index=NBR;rgb=NIR%2FRED%2FGREEN;chipwidth=1;"), "landsat_chips")</f>
        <v>landsat_chips</v>
      </c>
      <c r="K62" s="3" t="str">
        <f>HYPERLINK(CONCATENATE("https://livingatlas.arcgis.com/wayback/#ext=-74.4256153096899,18.613286671436224,-74.4236153096899,18.611286671436222"), "wayback")</f>
        <v>wayback</v>
      </c>
      <c r="L62" s="2" t="s">
        <v>15</v>
      </c>
      <c r="M62" s="5"/>
      <c r="N62" s="5" t="s">
        <v>15</v>
      </c>
    </row>
    <row r="63" spans="1:14" x14ac:dyDescent="0.35">
      <c r="A63" s="2">
        <v>62</v>
      </c>
      <c r="B63" s="2" t="s">
        <v>425</v>
      </c>
      <c r="C63" s="2" t="s">
        <v>79</v>
      </c>
      <c r="D63" s="2">
        <v>2017</v>
      </c>
      <c r="E63" s="2" t="s">
        <v>10</v>
      </c>
      <c r="F63" s="2">
        <v>1584</v>
      </c>
      <c r="G63" s="2">
        <v>18.227213322284111</v>
      </c>
      <c r="H63" s="2">
        <v>-71.699778497892453</v>
      </c>
      <c r="I63" s="3" t="str">
        <f>HYPERLINK(CONCATENATE("https://faluhong.users.earthengine.app/view/hispaniola-lc-validation#id=LC62;lat=18.227213322284115;lon=-71.69977849789245;year=2017;bf=40;level=18;"), "landsat_time_series")</f>
        <v>landsat_time_series</v>
      </c>
      <c r="J63" s="3" t="str">
        <f>HYPERLINK(CONCATENATE("https://jstnbraaten.users.earthengine.app/view/landsat-timeseries-explorer#run=true;lon=-71.69977849789245;lat=18.227213322284115;from=01-01;to=12-31;index=NBR;rgb=NIR%2FRED%2FGREEN;chipwidth=1;"), "landsat_chips")</f>
        <v>landsat_chips</v>
      </c>
      <c r="K63" s="3" t="str">
        <f>HYPERLINK(CONCATENATE("https://livingatlas.arcgis.com/wayback/#ext=-71.70077849789246,18.228213322284116,-71.69877849789245,18.226213322284114"), "wayback")</f>
        <v>wayback</v>
      </c>
      <c r="L63" s="2" t="s">
        <v>38</v>
      </c>
      <c r="M63" s="5"/>
      <c r="N63" s="5" t="s">
        <v>21</v>
      </c>
    </row>
    <row r="64" spans="1:14" x14ac:dyDescent="0.35">
      <c r="A64" s="2">
        <v>63</v>
      </c>
      <c r="B64" s="2" t="s">
        <v>425</v>
      </c>
      <c r="C64" s="2" t="s">
        <v>80</v>
      </c>
      <c r="D64" s="2">
        <v>2005</v>
      </c>
      <c r="E64" s="2" t="s">
        <v>10</v>
      </c>
      <c r="F64" s="2">
        <v>53</v>
      </c>
      <c r="G64" s="2">
        <v>18.332038537582068</v>
      </c>
      <c r="H64" s="2">
        <v>-68.732275718329561</v>
      </c>
      <c r="I64" s="3" t="str">
        <f>HYPERLINK(CONCATENATE("https://faluhong.users.earthengine.app/view/hispaniola-lc-validation#id=LC63;lat=18.332038537582072;lon=-68.73227571832956;year=2005;bf=40;level=18;"), "landsat_time_series")</f>
        <v>landsat_time_series</v>
      </c>
      <c r="J64" s="3" t="str">
        <f>HYPERLINK(CONCATENATE("https://jstnbraaten.users.earthengine.app/view/landsat-timeseries-explorer#run=true;lon=-68.73227571832956;lat=18.332038537582072;from=01-01;to=12-31;index=NBR;rgb=NIR%2FRED%2FGREEN;chipwidth=1;"), "landsat_chips")</f>
        <v>landsat_chips</v>
      </c>
      <c r="K64" s="3" t="str">
        <f>HYPERLINK(CONCATENATE("https://livingatlas.arcgis.com/wayback/#ext=-68.73327571832957,18.333038537582073,-68.73127571832956,18.33103853758207"), "wayback")</f>
        <v>wayback</v>
      </c>
      <c r="L64" s="2" t="s">
        <v>18</v>
      </c>
      <c r="M64" s="5"/>
      <c r="N64" s="5" t="s">
        <v>18</v>
      </c>
    </row>
    <row r="65" spans="1:14" x14ac:dyDescent="0.35">
      <c r="A65" s="2">
        <v>64</v>
      </c>
      <c r="B65" s="2" t="s">
        <v>425</v>
      </c>
      <c r="C65" s="2" t="s">
        <v>81</v>
      </c>
      <c r="D65" s="2">
        <v>2010</v>
      </c>
      <c r="E65" s="2" t="s">
        <v>10</v>
      </c>
      <c r="F65" s="2">
        <v>239</v>
      </c>
      <c r="G65" s="2">
        <v>18.192609277463031</v>
      </c>
      <c r="H65" s="2">
        <v>-71.112293831182768</v>
      </c>
      <c r="I65" s="3" t="str">
        <f>HYPERLINK(CONCATENATE("https://faluhong.users.earthengine.app/view/hispaniola-lc-validation#id=LC64;lat=18.192609277463035;lon=-71.11229383118277;year=2010;bf=40;level=18;"), "landsat_time_series")</f>
        <v>landsat_time_series</v>
      </c>
      <c r="J65" s="3" t="str">
        <f>HYPERLINK(CONCATENATE("https://jstnbraaten.users.earthengine.app/view/landsat-timeseries-explorer#run=true;lon=-71.11229383118277;lat=18.192609277463035;from=01-01;to=12-31;index=NBR;rgb=NIR%2FRED%2FGREEN;chipwidth=1;"), "landsat_chips")</f>
        <v>landsat_chips</v>
      </c>
      <c r="K65" s="3" t="str">
        <f>HYPERLINK(CONCATENATE("https://livingatlas.arcgis.com/wayback/#ext=-71.11329383118277,18.193609277463036,-71.11129383118276,18.191609277463034"), "wayback")</f>
        <v>wayback</v>
      </c>
      <c r="L65" s="2" t="s">
        <v>21</v>
      </c>
      <c r="M65" s="5"/>
      <c r="N65" s="5" t="s">
        <v>21</v>
      </c>
    </row>
    <row r="66" spans="1:14" x14ac:dyDescent="0.35">
      <c r="A66" s="2">
        <v>65</v>
      </c>
      <c r="B66" s="2" t="s">
        <v>425</v>
      </c>
      <c r="C66" s="2" t="s">
        <v>82</v>
      </c>
      <c r="D66" s="2">
        <v>2018</v>
      </c>
      <c r="E66" s="2" t="s">
        <v>10</v>
      </c>
      <c r="F66" s="2">
        <v>743</v>
      </c>
      <c r="G66" s="2">
        <v>18.74472090652753</v>
      </c>
      <c r="H66" s="2">
        <v>-71.511822032233866</v>
      </c>
      <c r="I66" s="3" t="str">
        <f>HYPERLINK(CONCATENATE("https://faluhong.users.earthengine.app/view/hispaniola-lc-validation#id=LC65;lat=18.744720906527526;lon=-71.51182203223387;year=2018;bf=40;level=18;"), "landsat_time_series")</f>
        <v>landsat_time_series</v>
      </c>
      <c r="J66" s="3" t="str">
        <f>HYPERLINK(CONCATENATE("https://jstnbraaten.users.earthengine.app/view/landsat-timeseries-explorer#run=true;lon=-71.51182203223387;lat=18.744720906527526;from=01-01;to=12-31;index=NBR;rgb=NIR%2FRED%2FGREEN;chipwidth=1;"), "landsat_chips")</f>
        <v>landsat_chips</v>
      </c>
      <c r="K66" s="3" t="str">
        <f>HYPERLINK(CONCATENATE("https://livingatlas.arcgis.com/wayback/#ext=-71.51282203223387,18.745720906527527,-71.51082203223386,18.743720906527525"), "wayback")</f>
        <v>wayback</v>
      </c>
      <c r="L66" s="2" t="s">
        <v>921</v>
      </c>
      <c r="M66" s="5"/>
      <c r="N66" s="5" t="s">
        <v>921</v>
      </c>
    </row>
    <row r="67" spans="1:14" x14ac:dyDescent="0.35">
      <c r="A67" s="2">
        <v>66</v>
      </c>
      <c r="B67" s="2" t="s">
        <v>425</v>
      </c>
      <c r="C67" s="2" t="s">
        <v>83</v>
      </c>
      <c r="D67" s="2">
        <v>2015</v>
      </c>
      <c r="E67" s="2" t="s">
        <v>20</v>
      </c>
      <c r="F67" s="2">
        <v>1579</v>
      </c>
      <c r="G67" s="2">
        <v>18.427241970333021</v>
      </c>
      <c r="H67" s="2">
        <v>-74.109492343976143</v>
      </c>
      <c r="I67" s="3" t="str">
        <f>HYPERLINK(CONCATENATE("https://faluhong.users.earthengine.app/view/hispaniola-lc-validation#id=LC66;lat=18.42724197033302;lon=-74.10949234397614;year=2015;bf=40;level=18;"), "landsat_time_series")</f>
        <v>landsat_time_series</v>
      </c>
      <c r="J67" s="3" t="str">
        <f>HYPERLINK(CONCATENATE("https://jstnbraaten.users.earthengine.app/view/landsat-timeseries-explorer#run=true;lon=-74.10949234397614;lat=18.42724197033302;from=01-01;to=12-31;index=NBR;rgb=NIR%2FRED%2FGREEN;chipwidth=1;"), "landsat_chips")</f>
        <v>landsat_chips</v>
      </c>
      <c r="K67" s="3" t="str">
        <f>HYPERLINK(CONCATENATE("https://livingatlas.arcgis.com/wayback/#ext=-74.11049234397615,18.428241970333023,-74.10849234397614,18.42624197033302"), "wayback")</f>
        <v>wayback</v>
      </c>
      <c r="L67" s="2" t="s">
        <v>21</v>
      </c>
      <c r="M67" s="5" t="b">
        <v>1</v>
      </c>
      <c r="N67" s="5"/>
    </row>
    <row r="68" spans="1:14" x14ac:dyDescent="0.35">
      <c r="A68" s="2">
        <v>67</v>
      </c>
      <c r="B68" s="2" t="s">
        <v>425</v>
      </c>
      <c r="C68" s="2" t="s">
        <v>84</v>
      </c>
      <c r="D68" s="2">
        <v>2006</v>
      </c>
      <c r="E68" s="2" t="s">
        <v>10</v>
      </c>
      <c r="F68" s="2">
        <v>11</v>
      </c>
      <c r="G68" s="2">
        <v>18.272404240491149</v>
      </c>
      <c r="H68" s="2">
        <v>-71.206061256712303</v>
      </c>
      <c r="I68" s="3" t="str">
        <f>HYPERLINK(CONCATENATE("https://faluhong.users.earthengine.app/view/hispaniola-lc-validation#id=LC67;lat=18.27240424049115;lon=-71.2060612567123;year=2006;bf=40;level=18;"), "landsat_time_series")</f>
        <v>landsat_time_series</v>
      </c>
      <c r="J68" s="3" t="str">
        <f>HYPERLINK(CONCATENATE("https://jstnbraaten.users.earthengine.app/view/landsat-timeseries-explorer#run=true;lon=-71.2060612567123;lat=18.27240424049115;from=01-01;to=12-31;index=NBR;rgb=NIR%2FRED%2FGREEN;chipwidth=1;"), "landsat_chips")</f>
        <v>landsat_chips</v>
      </c>
      <c r="K68" s="3" t="str">
        <f>HYPERLINK(CONCATENATE("https://livingatlas.arcgis.com/wayback/#ext=-71.20706125671231,18.27340424049115,-71.2050612567123,18.271404240491147"), "wayback")</f>
        <v>wayback</v>
      </c>
      <c r="L68" s="2" t="s">
        <v>921</v>
      </c>
      <c r="M68" s="5"/>
      <c r="N68" s="5" t="s">
        <v>921</v>
      </c>
    </row>
    <row r="69" spans="1:14" x14ac:dyDescent="0.35">
      <c r="A69" s="2">
        <v>68</v>
      </c>
      <c r="B69" s="2" t="s">
        <v>425</v>
      </c>
      <c r="C69" s="2" t="s">
        <v>85</v>
      </c>
      <c r="D69" s="2">
        <v>2013</v>
      </c>
      <c r="E69" s="2" t="s">
        <v>20</v>
      </c>
      <c r="F69" s="2">
        <v>27</v>
      </c>
      <c r="G69" s="2">
        <v>18.217917497758329</v>
      </c>
      <c r="H69" s="2">
        <v>-72.505132600849365</v>
      </c>
      <c r="I69" s="3" t="str">
        <f>HYPERLINK(CONCATENATE("https://faluhong.users.earthengine.app/view/hispaniola-lc-validation#id=LC68;lat=18.217917497758325;lon=-72.50513260084936;year=2013;bf=40;level=18;"), "landsat_time_series")</f>
        <v>landsat_time_series</v>
      </c>
      <c r="J69" s="3" t="str">
        <f>HYPERLINK(CONCATENATE("https://jstnbraaten.users.earthengine.app/view/landsat-timeseries-explorer#run=true;lon=-72.50513260084936;lat=18.217917497758325;from=01-01;to=12-31;index=NBR;rgb=NIR%2FRED%2FGREEN;chipwidth=1;"), "landsat_chips")</f>
        <v>landsat_chips</v>
      </c>
      <c r="K69" s="3" t="str">
        <f>HYPERLINK(CONCATENATE("https://livingatlas.arcgis.com/wayback/#ext=-72.50613260084937,18.218917497758326,-72.50413260084936,18.216917497758324"), "wayback")</f>
        <v>wayback</v>
      </c>
      <c r="L69" s="2" t="s">
        <v>21</v>
      </c>
      <c r="M69" s="5" t="b">
        <v>1</v>
      </c>
      <c r="N69" s="5" t="s">
        <v>13</v>
      </c>
    </row>
    <row r="70" spans="1:14" x14ac:dyDescent="0.35">
      <c r="A70" s="2">
        <v>69</v>
      </c>
      <c r="B70" s="2" t="s">
        <v>425</v>
      </c>
      <c r="C70" s="2" t="s">
        <v>86</v>
      </c>
      <c r="D70" s="2">
        <v>2012</v>
      </c>
      <c r="E70" s="2" t="s">
        <v>10</v>
      </c>
      <c r="F70" s="2">
        <v>5</v>
      </c>
      <c r="G70" s="2">
        <v>18.275308456571089</v>
      </c>
      <c r="H70" s="2">
        <v>-71.216617433514912</v>
      </c>
      <c r="I70" s="3" t="str">
        <f>HYPERLINK(CONCATENATE("https://faluhong.users.earthengine.app/view/hispaniola-lc-validation#id=LC69;lat=18.27530845657109;lon=-71.21661743351491;year=2012;bf=40;level=18;"), "landsat_time_series")</f>
        <v>landsat_time_series</v>
      </c>
      <c r="J70" s="3" t="str">
        <f>HYPERLINK(CONCATENATE("https://jstnbraaten.users.earthengine.app/view/landsat-timeseries-explorer#run=true;lon=-71.21661743351491;lat=18.27530845657109;from=01-01;to=12-31;index=NBR;rgb=NIR%2FRED%2FGREEN;chipwidth=1;"), "landsat_chips")</f>
        <v>landsat_chips</v>
      </c>
      <c r="K70" s="3" t="str">
        <f>HYPERLINK(CONCATENATE("https://livingatlas.arcgis.com/wayback/#ext=-71.21761743351492,18.27630845657109,-71.21561743351491,18.274308456571088"), "wayback")</f>
        <v>wayback</v>
      </c>
      <c r="L70" s="2" t="s">
        <v>15</v>
      </c>
      <c r="M70" s="5"/>
      <c r="N70" s="5" t="s">
        <v>15</v>
      </c>
    </row>
    <row r="71" spans="1:14" x14ac:dyDescent="0.35">
      <c r="A71" s="2">
        <v>70</v>
      </c>
      <c r="B71" s="2" t="s">
        <v>425</v>
      </c>
      <c r="C71" s="2" t="s">
        <v>87</v>
      </c>
      <c r="D71" s="2">
        <v>2006</v>
      </c>
      <c r="E71" s="2" t="s">
        <v>10</v>
      </c>
      <c r="F71" s="2">
        <v>1847</v>
      </c>
      <c r="G71" s="2">
        <v>19.07250255956086</v>
      </c>
      <c r="H71" s="2">
        <v>-71.029178101826389</v>
      </c>
      <c r="I71" s="3" t="str">
        <f>HYPERLINK(CONCATENATE("https://faluhong.users.earthengine.app/view/hispaniola-lc-validation#id=LC70;lat=19.072502559560856;lon=-71.02917810182639;year=2006;bf=40;level=18;"), "landsat_time_series")</f>
        <v>landsat_time_series</v>
      </c>
      <c r="J71" s="3" t="str">
        <f>HYPERLINK(CONCATENATE("https://jstnbraaten.users.earthengine.app/view/landsat-timeseries-explorer#run=true;lon=-71.02917810182639;lat=19.072502559560856;from=01-01;to=12-31;index=NBR;rgb=NIR%2FRED%2FGREEN;chipwidth=1;"), "landsat_chips")</f>
        <v>landsat_chips</v>
      </c>
      <c r="K71" s="3" t="str">
        <f>HYPERLINK(CONCATENATE("https://livingatlas.arcgis.com/wayback/#ext=-71.0301781018264,19.073502559560858,-71.02817810182638,19.071502559560855"), "wayback")</f>
        <v>wayback</v>
      </c>
      <c r="L71" s="2" t="s">
        <v>38</v>
      </c>
      <c r="M71" s="5"/>
      <c r="N71" s="5" t="s">
        <v>21</v>
      </c>
    </row>
    <row r="72" spans="1:14" x14ac:dyDescent="0.35">
      <c r="A72" s="2">
        <v>71</v>
      </c>
      <c r="B72" s="2" t="s">
        <v>425</v>
      </c>
      <c r="C72" s="2" t="s">
        <v>88</v>
      </c>
      <c r="D72" s="2">
        <v>2001</v>
      </c>
      <c r="E72" s="2" t="s">
        <v>10</v>
      </c>
      <c r="F72" s="2">
        <v>1170</v>
      </c>
      <c r="G72" s="2">
        <v>18.104103683557259</v>
      </c>
      <c r="H72" s="2">
        <v>-71.550528812888359</v>
      </c>
      <c r="I72" s="3" t="str">
        <f>HYPERLINK(CONCATENATE("https://faluhong.users.earthengine.app/view/hispaniola-lc-validation#id=LC71;lat=18.104103683557256;lon=-71.55052881288836;year=2001;bf=40;level=18;"), "landsat_time_series")</f>
        <v>landsat_time_series</v>
      </c>
      <c r="J72" s="3" t="str">
        <f>HYPERLINK(CONCATENATE("https://jstnbraaten.users.earthengine.app/view/landsat-timeseries-explorer#run=true;lon=-71.55052881288836;lat=18.104103683557256;from=01-01;to=12-31;index=NBR;rgb=NIR%2FRED%2FGREEN;chipwidth=1;"), "landsat_chips")</f>
        <v>landsat_chips</v>
      </c>
      <c r="K72" s="3" t="str">
        <f>HYPERLINK(CONCATENATE("https://livingatlas.arcgis.com/wayback/#ext=-71.55152881288836,18.105103683557257,-71.54952881288835,18.103103683557254"), "wayback")</f>
        <v>wayback</v>
      </c>
      <c r="L72" s="2" t="s">
        <v>38</v>
      </c>
      <c r="M72" s="5"/>
      <c r="N72" s="5" t="s">
        <v>21</v>
      </c>
    </row>
    <row r="73" spans="1:14" x14ac:dyDescent="0.35">
      <c r="A73" s="2">
        <v>72</v>
      </c>
      <c r="B73" s="2" t="s">
        <v>425</v>
      </c>
      <c r="C73" s="2" t="s">
        <v>89</v>
      </c>
      <c r="D73" s="2">
        <v>2013</v>
      </c>
      <c r="E73" s="2" t="s">
        <v>10</v>
      </c>
      <c r="F73" s="2">
        <v>2343</v>
      </c>
      <c r="G73" s="2">
        <v>18.766770557168609</v>
      </c>
      <c r="H73" s="2">
        <v>-70.717435438920347</v>
      </c>
      <c r="I73" s="3" t="str">
        <f>HYPERLINK(CONCATENATE("https://faluhong.users.earthengine.app/view/hispaniola-lc-validation#id=LC72;lat=18.766770557168606;lon=-70.71743543892035;year=2013;bf=40;level=18;"), "landsat_time_series")</f>
        <v>landsat_time_series</v>
      </c>
      <c r="J73" s="3" t="str">
        <f>HYPERLINK(CONCATENATE("https://jstnbraaten.users.earthengine.app/view/landsat-timeseries-explorer#run=true;lon=-70.71743543892035;lat=18.766770557168606;from=01-01;to=12-31;index=NBR;rgb=NIR%2FRED%2FGREEN;chipwidth=1;"), "landsat_chips")</f>
        <v>landsat_chips</v>
      </c>
      <c r="K73" s="3" t="str">
        <f>HYPERLINK(CONCATENATE("https://livingatlas.arcgis.com/wayback/#ext=-70.71843543892035,18.767770557168607,-70.71643543892034,18.765770557168604"), "wayback")</f>
        <v>wayback</v>
      </c>
      <c r="L73" s="2" t="s">
        <v>21</v>
      </c>
      <c r="M73" s="5"/>
      <c r="N73" s="5" t="s">
        <v>921</v>
      </c>
    </row>
    <row r="74" spans="1:14" x14ac:dyDescent="0.35">
      <c r="A74" s="2">
        <v>73</v>
      </c>
      <c r="B74" s="2" t="s">
        <v>425</v>
      </c>
      <c r="C74" s="2" t="s">
        <v>90</v>
      </c>
      <c r="D74" s="2">
        <v>2021</v>
      </c>
      <c r="E74" s="2" t="s">
        <v>10</v>
      </c>
      <c r="F74" s="2">
        <v>1593</v>
      </c>
      <c r="G74" s="2">
        <v>19.055993600796509</v>
      </c>
      <c r="H74" s="2">
        <v>-70.900355895046559</v>
      </c>
      <c r="I74" s="3" t="str">
        <f>HYPERLINK(CONCATENATE("https://faluhong.users.earthengine.app/view/hispaniola-lc-validation#id=LC73;lat=19.05599360079651;lon=-70.90035589504656;year=2021;bf=40;level=18;"), "landsat_time_series")</f>
        <v>landsat_time_series</v>
      </c>
      <c r="J74" s="3" t="str">
        <f>HYPERLINK(CONCATENATE("https://jstnbraaten.users.earthengine.app/view/landsat-timeseries-explorer#run=true;lon=-70.90035589504656;lat=19.05599360079651;from=01-01;to=12-31;index=NBR;rgb=NIR%2FRED%2FGREEN;chipwidth=1;"), "landsat_chips")</f>
        <v>landsat_chips</v>
      </c>
      <c r="K74" s="3" t="str">
        <f>HYPERLINK(CONCATENATE("https://livingatlas.arcgis.com/wayback/#ext=-70.90135589504656,19.05699360079651,-70.89935589504655,19.054993600796507"), "wayback")</f>
        <v>wayback</v>
      </c>
      <c r="L74" s="2" t="s">
        <v>38</v>
      </c>
      <c r="M74" s="5"/>
      <c r="N74" s="5" t="s">
        <v>38</v>
      </c>
    </row>
    <row r="75" spans="1:14" x14ac:dyDescent="0.35">
      <c r="A75" s="2">
        <v>74</v>
      </c>
      <c r="B75" s="2" t="s">
        <v>425</v>
      </c>
      <c r="C75" s="2" t="s">
        <v>91</v>
      </c>
      <c r="D75" s="2">
        <v>2010</v>
      </c>
      <c r="E75" s="2" t="s">
        <v>20</v>
      </c>
      <c r="F75" s="2">
        <v>38</v>
      </c>
      <c r="G75" s="2">
        <v>19.628259089147171</v>
      </c>
      <c r="H75" s="2">
        <v>-71.941789059488329</v>
      </c>
      <c r="I75" s="3" t="str">
        <f>HYPERLINK(CONCATENATE("https://faluhong.users.earthengine.app/view/hispaniola-lc-validation#id=LC74;lat=19.628259089147175;lon=-71.94178905948833;year=2010;bf=40;level=18;"), "landsat_time_series")</f>
        <v>landsat_time_series</v>
      </c>
      <c r="J75" s="3" t="str">
        <f>HYPERLINK(CONCATENATE("https://jstnbraaten.users.earthengine.app/view/landsat-timeseries-explorer#run=true;lon=-71.94178905948833;lat=19.628259089147175;from=01-01;to=12-31;index=NBR;rgb=NIR%2FRED%2FGREEN;chipwidth=1;"), "landsat_chips")</f>
        <v>landsat_chips</v>
      </c>
      <c r="K75" s="3" t="str">
        <f>HYPERLINK(CONCATENATE("https://livingatlas.arcgis.com/wayback/#ext=-71.94278905948833,19.629259089147176,-71.94078905948832,19.627259089147174"), "wayback")</f>
        <v>wayback</v>
      </c>
      <c r="L75" s="2" t="s">
        <v>921</v>
      </c>
      <c r="M75" s="5"/>
      <c r="N75" s="5" t="s">
        <v>921</v>
      </c>
    </row>
    <row r="76" spans="1:14" x14ac:dyDescent="0.35">
      <c r="A76" s="2">
        <v>75</v>
      </c>
      <c r="B76" s="2" t="s">
        <v>425</v>
      </c>
      <c r="C76" s="2" t="s">
        <v>92</v>
      </c>
      <c r="D76" s="2">
        <v>2006</v>
      </c>
      <c r="E76" s="2" t="s">
        <v>10</v>
      </c>
      <c r="F76" s="2">
        <v>4</v>
      </c>
      <c r="G76" s="2">
        <v>18.225877678348869</v>
      </c>
      <c r="H76" s="2">
        <v>-68.689211350950089</v>
      </c>
      <c r="I76" s="3" t="str">
        <f>HYPERLINK(CONCATENATE("https://faluhong.users.earthengine.app/view/hispaniola-lc-validation#id=LC75;lat=18.225877678348866;lon=-68.68921135095009;year=2006;bf=40;level=18;"), "landsat_time_series")</f>
        <v>landsat_time_series</v>
      </c>
      <c r="J76" s="3" t="str">
        <f>HYPERLINK(CONCATENATE("https://jstnbraaten.users.earthengine.app/view/landsat-timeseries-explorer#run=true;lon=-68.68921135095009;lat=18.225877678348866;from=01-01;to=12-31;index=NBR;rgb=NIR%2FRED%2FGREEN;chipwidth=1;"), "landsat_chips")</f>
        <v>landsat_chips</v>
      </c>
      <c r="K76" s="3" t="str">
        <f>HYPERLINK(CONCATENATE("https://livingatlas.arcgis.com/wayback/#ext=-68.6902113509501,18.226877678348867,-68.68821135095008,18.224877678348864"), "wayback")</f>
        <v>wayback</v>
      </c>
      <c r="L76" s="2" t="s">
        <v>18</v>
      </c>
      <c r="M76" s="5"/>
      <c r="N76" s="5" t="s">
        <v>18</v>
      </c>
    </row>
    <row r="77" spans="1:14" x14ac:dyDescent="0.35">
      <c r="A77" s="2">
        <v>76</v>
      </c>
      <c r="B77" s="2" t="s">
        <v>425</v>
      </c>
      <c r="C77" s="2" t="s">
        <v>93</v>
      </c>
      <c r="D77" s="2">
        <v>2005</v>
      </c>
      <c r="E77" s="2" t="s">
        <v>10</v>
      </c>
      <c r="F77" s="2">
        <v>254</v>
      </c>
      <c r="G77" s="2">
        <v>19.43089442341898</v>
      </c>
      <c r="H77" s="2">
        <v>-71.234035489048438</v>
      </c>
      <c r="I77" s="3" t="str">
        <f>HYPERLINK(CONCATENATE("https://faluhong.users.earthengine.app/view/hispaniola-lc-validation#id=LC76;lat=19.430894423418977;lon=-71.23403548904844;year=2005;bf=40;level=18;"), "landsat_time_series")</f>
        <v>landsat_time_series</v>
      </c>
      <c r="J77" s="3" t="str">
        <f>HYPERLINK(CONCATENATE("https://jstnbraaten.users.earthengine.app/view/landsat-timeseries-explorer#run=true;lon=-71.23403548904844;lat=19.430894423418977;from=01-01;to=12-31;index=NBR;rgb=NIR%2FRED%2FGREEN;chipwidth=1;"), "landsat_chips")</f>
        <v>landsat_chips</v>
      </c>
      <c r="K77" s="3" t="str">
        <f>HYPERLINK(CONCATENATE("https://livingatlas.arcgis.com/wayback/#ext=-71.23503548904844,19.431894423418978,-71.23303548904843,19.429894423418975"), "wayback")</f>
        <v>wayback</v>
      </c>
      <c r="L77" s="2" t="s">
        <v>21</v>
      </c>
      <c r="M77" s="5"/>
      <c r="N77" s="5" t="s">
        <v>21</v>
      </c>
    </row>
    <row r="78" spans="1:14" x14ac:dyDescent="0.35">
      <c r="A78" s="2">
        <v>77</v>
      </c>
      <c r="B78" s="2" t="s">
        <v>425</v>
      </c>
      <c r="C78" s="2" t="s">
        <v>94</v>
      </c>
      <c r="D78" s="2">
        <v>2017</v>
      </c>
      <c r="E78" s="2" t="s">
        <v>10</v>
      </c>
      <c r="F78" s="2">
        <v>1622</v>
      </c>
      <c r="G78" s="2">
        <v>19.170618393636168</v>
      </c>
      <c r="H78" s="2">
        <v>-71.273209114160451</v>
      </c>
      <c r="I78" s="3" t="str">
        <f>HYPERLINK(CONCATENATE("https://faluhong.users.earthengine.app/view/hispaniola-lc-validation#id=LC77;lat=19.170618393636172;lon=-71.27320911416045;year=2017;bf=40;level=18;"), "landsat_time_series")</f>
        <v>landsat_time_series</v>
      </c>
      <c r="J78" s="3" t="str">
        <f>HYPERLINK(CONCATENATE("https://jstnbraaten.users.earthengine.app/view/landsat-timeseries-explorer#run=true;lon=-71.27320911416045;lat=19.170618393636172;from=01-01;to=12-31;index=NBR;rgb=NIR%2FRED%2FGREEN;chipwidth=1;"), "landsat_chips")</f>
        <v>landsat_chips</v>
      </c>
      <c r="K78" s="3" t="str">
        <f>HYPERLINK(CONCATENATE("https://livingatlas.arcgis.com/wayback/#ext=-71.27420911416046,19.171618393636173,-71.27220911416045,19.16961839363617"), "wayback")</f>
        <v>wayback</v>
      </c>
      <c r="L78" s="2" t="s">
        <v>38</v>
      </c>
      <c r="M78" s="5"/>
      <c r="N78" s="5" t="s">
        <v>38</v>
      </c>
    </row>
    <row r="79" spans="1:14" x14ac:dyDescent="0.35">
      <c r="A79" s="2">
        <v>78</v>
      </c>
      <c r="B79" s="2" t="s">
        <v>425</v>
      </c>
      <c r="C79" s="2" t="s">
        <v>95</v>
      </c>
      <c r="D79" s="2">
        <v>2014</v>
      </c>
      <c r="E79" s="2" t="s">
        <v>10</v>
      </c>
      <c r="F79" s="2">
        <v>1</v>
      </c>
      <c r="G79" s="2">
        <v>18.242130001154411</v>
      </c>
      <c r="H79" s="2">
        <v>-68.665475268330894</v>
      </c>
      <c r="I79" s="3" t="str">
        <f>HYPERLINK(CONCATENATE("https://faluhong.users.earthengine.app/view/hispaniola-lc-validation#id=LC78;lat=18.242130001154415;lon=-68.6654752683309;year=2014;bf=40;level=18;"), "landsat_time_series")</f>
        <v>landsat_time_series</v>
      </c>
      <c r="J79" s="3" t="str">
        <f>HYPERLINK(CONCATENATE("https://jstnbraaten.users.earthengine.app/view/landsat-timeseries-explorer#run=true;lon=-68.6654752683309;lat=18.242130001154415;from=01-01;to=12-31;index=NBR;rgb=NIR%2FRED%2FGREEN;chipwidth=1;"), "landsat_chips")</f>
        <v>landsat_chips</v>
      </c>
      <c r="K79" s="3" t="str">
        <f>HYPERLINK(CONCATENATE("https://livingatlas.arcgis.com/wayback/#ext=-68.6664752683309,18.243130001154416,-68.66447526833089,18.241130001154414"), "wayback")</f>
        <v>wayback</v>
      </c>
      <c r="L79" s="2" t="s">
        <v>24</v>
      </c>
      <c r="M79" s="5"/>
      <c r="N79" s="5" t="s">
        <v>18</v>
      </c>
    </row>
    <row r="80" spans="1:14" x14ac:dyDescent="0.35">
      <c r="A80" s="2">
        <v>79</v>
      </c>
      <c r="B80" s="2" t="s">
        <v>425</v>
      </c>
      <c r="C80" s="2" t="s">
        <v>96</v>
      </c>
      <c r="D80" s="2">
        <v>2018</v>
      </c>
      <c r="E80" s="2" t="s">
        <v>10</v>
      </c>
      <c r="F80" s="2">
        <v>38</v>
      </c>
      <c r="G80" s="2">
        <v>19.56535014006495</v>
      </c>
      <c r="H80" s="2">
        <v>-71.689321994528598</v>
      </c>
      <c r="I80" s="3" t="str">
        <f>HYPERLINK(CONCATENATE("https://faluhong.users.earthengine.app/view/hispaniola-lc-validation#id=LC79;lat=19.565350140064954;lon=-71.6893219945286;year=2018;bf=40;level=18;"), "landsat_time_series")</f>
        <v>landsat_time_series</v>
      </c>
      <c r="J80" s="3" t="str">
        <f>HYPERLINK(CONCATENATE("https://jstnbraaten.users.earthengine.app/view/landsat-timeseries-explorer#run=true;lon=-71.6893219945286;lat=19.565350140064954;from=01-01;to=12-31;index=NBR;rgb=NIR%2FRED%2FGREEN;chipwidth=1;"), "landsat_chips")</f>
        <v>landsat_chips</v>
      </c>
      <c r="K80" s="3" t="str">
        <f>HYPERLINK(CONCATENATE("https://livingatlas.arcgis.com/wayback/#ext=-71.6903219945286,19.566350140064955,-71.6883219945286,19.564350140064953"), "wayback")</f>
        <v>wayback</v>
      </c>
      <c r="L80" s="2" t="s">
        <v>921</v>
      </c>
      <c r="M80" s="5"/>
      <c r="N80" s="5" t="s">
        <v>921</v>
      </c>
    </row>
    <row r="81" spans="1:14" x14ac:dyDescent="0.35">
      <c r="A81" s="2">
        <v>80</v>
      </c>
      <c r="B81" s="2" t="s">
        <v>425</v>
      </c>
      <c r="C81" s="2" t="s">
        <v>97</v>
      </c>
      <c r="D81" s="2">
        <v>2002</v>
      </c>
      <c r="E81" s="2" t="s">
        <v>10</v>
      </c>
      <c r="F81" s="2">
        <v>111</v>
      </c>
      <c r="G81" s="2">
        <v>18.381154587974319</v>
      </c>
      <c r="H81" s="2">
        <v>-68.461490602192043</v>
      </c>
      <c r="I81" s="3" t="str">
        <f>HYPERLINK(CONCATENATE("https://faluhong.users.earthengine.app/view/hispaniola-lc-validation#id=LC80;lat=18.381154587974322;lon=-68.46149060219204;year=2002;bf=40;level=18;"), "landsat_time_series")</f>
        <v>landsat_time_series</v>
      </c>
      <c r="J81" s="3" t="str">
        <f>HYPERLINK(CONCATENATE("https://jstnbraaten.users.earthengine.app/view/landsat-timeseries-explorer#run=true;lon=-68.46149060219204;lat=18.381154587974322;from=01-01;to=12-31;index=NBR;rgb=NIR%2FRED%2FGREEN;chipwidth=1;"), "landsat_chips")</f>
        <v>landsat_chips</v>
      </c>
      <c r="K81" s="3" t="str">
        <f>HYPERLINK(CONCATENATE("https://livingatlas.arcgis.com/wayback/#ext=-68.46249060219205,18.382154587974323,-68.46049060219204,18.38015458797432"), "wayback")</f>
        <v>wayback</v>
      </c>
      <c r="L81" s="2" t="s">
        <v>18</v>
      </c>
      <c r="M81" s="5"/>
      <c r="N81" s="5" t="s">
        <v>18</v>
      </c>
    </row>
    <row r="82" spans="1:14" x14ac:dyDescent="0.35">
      <c r="A82" s="2">
        <v>81</v>
      </c>
      <c r="B82" s="2" t="s">
        <v>425</v>
      </c>
      <c r="C82" s="2" t="s">
        <v>98</v>
      </c>
      <c r="D82" s="2">
        <v>2003</v>
      </c>
      <c r="E82" s="2" t="s">
        <v>10</v>
      </c>
      <c r="F82" s="2">
        <v>498</v>
      </c>
      <c r="G82" s="2">
        <v>18.79567750282504</v>
      </c>
      <c r="H82" s="2">
        <v>-70.98969622211149</v>
      </c>
      <c r="I82" s="3" t="str">
        <f>HYPERLINK(CONCATENATE("https://faluhong.users.earthengine.app/view/hispaniola-lc-validation#id=LC81;lat=18.795677502825043;lon=-70.98969622211149;year=2003;bf=40;level=18;"), "landsat_time_series")</f>
        <v>landsat_time_series</v>
      </c>
      <c r="J82" s="3" t="str">
        <f>HYPERLINK(CONCATENATE("https://jstnbraaten.users.earthengine.app/view/landsat-timeseries-explorer#run=true;lon=-70.98969622211149;lat=18.795677502825043;from=01-01;to=12-31;index=NBR;rgb=NIR%2FRED%2FGREEN;chipwidth=1;"), "landsat_chips")</f>
        <v>landsat_chips</v>
      </c>
      <c r="K82" s="3" t="str">
        <f>HYPERLINK(CONCATENATE("https://livingatlas.arcgis.com/wayback/#ext=-70.9906962221115,18.796677502825045,-70.98869622211149,18.794677502825042"), "wayback")</f>
        <v>wayback</v>
      </c>
      <c r="L82" s="2" t="s">
        <v>921</v>
      </c>
      <c r="M82" s="5"/>
      <c r="N82" s="5" t="s">
        <v>921</v>
      </c>
    </row>
    <row r="83" spans="1:14" x14ac:dyDescent="0.35">
      <c r="A83" s="2">
        <v>82</v>
      </c>
      <c r="B83" s="2" t="s">
        <v>425</v>
      </c>
      <c r="C83" s="2" t="s">
        <v>99</v>
      </c>
      <c r="D83" s="2">
        <v>2003</v>
      </c>
      <c r="E83" s="2" t="s">
        <v>10</v>
      </c>
      <c r="F83" s="2">
        <v>287</v>
      </c>
      <c r="G83" s="2">
        <v>18.976887540815731</v>
      </c>
      <c r="H83" s="2">
        <v>-71.825303944557717</v>
      </c>
      <c r="I83" s="3" t="str">
        <f>HYPERLINK(CONCATENATE("https://faluhong.users.earthengine.app/view/hispaniola-lc-validation#id=LC82;lat=18.976887540815728;lon=-71.82530394455772;year=2003;bf=40;level=18;"), "landsat_time_series")</f>
        <v>landsat_time_series</v>
      </c>
      <c r="J83" s="3" t="str">
        <f>HYPERLINK(CONCATENATE("https://jstnbraaten.users.earthengine.app/view/landsat-timeseries-explorer#run=true;lon=-71.82530394455772;lat=18.976887540815728;from=01-01;to=12-31;index=NBR;rgb=NIR%2FRED%2FGREEN;chipwidth=1;"), "landsat_chips")</f>
        <v>landsat_chips</v>
      </c>
      <c r="K83" s="3" t="str">
        <f>HYPERLINK(CONCATENATE("https://livingatlas.arcgis.com/wayback/#ext=-71.82630394455772,18.97788754081573,-71.82430394455771,18.975887540815727"), "wayback")</f>
        <v>wayback</v>
      </c>
      <c r="L83" s="2" t="s">
        <v>21</v>
      </c>
      <c r="M83" s="5"/>
      <c r="N83" s="5" t="s">
        <v>13</v>
      </c>
    </row>
    <row r="84" spans="1:14" x14ac:dyDescent="0.35">
      <c r="A84" s="2">
        <v>83</v>
      </c>
      <c r="B84" s="2" t="s">
        <v>425</v>
      </c>
      <c r="C84" s="2" t="s">
        <v>100</v>
      </c>
      <c r="D84" s="2">
        <v>1998</v>
      </c>
      <c r="E84" s="2" t="s">
        <v>10</v>
      </c>
      <c r="F84" s="2">
        <v>56</v>
      </c>
      <c r="G84" s="2">
        <v>19.59821546474604</v>
      </c>
      <c r="H84" s="2">
        <v>-71.411385110483394</v>
      </c>
      <c r="I84" s="3" t="str">
        <f>HYPERLINK(CONCATENATE("https://faluhong.users.earthengine.app/view/hispaniola-lc-validation#id=LC83;lat=19.59821546474604;lon=-71.4113851104834;year=1998;bf=40;level=18;"), "landsat_time_series")</f>
        <v>landsat_time_series</v>
      </c>
      <c r="J84" s="3" t="str">
        <f>HYPERLINK(CONCATENATE("https://jstnbraaten.users.earthengine.app/view/landsat-timeseries-explorer#run=true;lon=-71.4113851104834;lat=19.59821546474604;from=01-01;to=12-31;index=NBR;rgb=NIR%2FRED%2FGREEN;chipwidth=1;"), "landsat_chips")</f>
        <v>landsat_chips</v>
      </c>
      <c r="K84" s="3" t="str">
        <f>HYPERLINK(CONCATENATE("https://livingatlas.arcgis.com/wayback/#ext=-71.4123851104834,19.59921546474604,-71.41038511048339,19.59721546474604"), "wayback")</f>
        <v>wayback</v>
      </c>
      <c r="L84" s="2" t="s">
        <v>921</v>
      </c>
      <c r="M84" s="5"/>
      <c r="N84" s="5" t="s">
        <v>921</v>
      </c>
    </row>
    <row r="85" spans="1:14" x14ac:dyDescent="0.35">
      <c r="A85" s="2">
        <v>84</v>
      </c>
      <c r="B85" s="2" t="s">
        <v>425</v>
      </c>
      <c r="C85" s="2" t="s">
        <v>101</v>
      </c>
      <c r="D85" s="2">
        <v>2012</v>
      </c>
      <c r="E85" s="2" t="s">
        <v>10</v>
      </c>
      <c r="F85" s="2">
        <v>105</v>
      </c>
      <c r="G85" s="2">
        <v>19.637258175581451</v>
      </c>
      <c r="H85" s="2">
        <v>-69.917096286713942</v>
      </c>
      <c r="I85" s="3" t="str">
        <f>HYPERLINK(CONCATENATE("https://faluhong.users.earthengine.app/view/hispaniola-lc-validation#id=LC84;lat=19.637258175581454;lon=-69.91709628671394;year=2012;bf=40;level=18;"), "landsat_time_series")</f>
        <v>landsat_time_series</v>
      </c>
      <c r="J85" s="3" t="str">
        <f>HYPERLINK(CONCATENATE("https://jstnbraaten.users.earthengine.app/view/landsat-timeseries-explorer#run=true;lon=-69.91709628671394;lat=19.637258175581454;from=01-01;to=12-31;index=NBR;rgb=NIR%2FRED%2FGREEN;chipwidth=1;"), "landsat_chips")</f>
        <v>landsat_chips</v>
      </c>
      <c r="K85" s="3" t="str">
        <f>HYPERLINK(CONCATENATE("https://livingatlas.arcgis.com/wayback/#ext=-69.91809628671395,19.638258175581456,-69.91609628671394,19.636258175581453"), "wayback")</f>
        <v>wayback</v>
      </c>
      <c r="L85" s="2" t="s">
        <v>921</v>
      </c>
      <c r="M85" s="5"/>
      <c r="N85" s="5" t="s">
        <v>921</v>
      </c>
    </row>
    <row r="86" spans="1:14" x14ac:dyDescent="0.35">
      <c r="A86" s="2">
        <v>85</v>
      </c>
      <c r="B86" s="2" t="s">
        <v>425</v>
      </c>
      <c r="C86" s="2" t="s">
        <v>102</v>
      </c>
      <c r="D86" s="2">
        <v>2002</v>
      </c>
      <c r="E86" s="2" t="s">
        <v>10</v>
      </c>
      <c r="F86" s="2">
        <v>254</v>
      </c>
      <c r="G86" s="2">
        <v>19.01344885055337</v>
      </c>
      <c r="H86" s="2">
        <v>-69.692675956156549</v>
      </c>
      <c r="I86" s="3" t="str">
        <f>HYPERLINK(CONCATENATE("https://faluhong.users.earthengine.app/view/hispaniola-lc-validation#id=LC85;lat=19.01344885055337;lon=-69.69267595615655;year=2002;bf=40;level=18;"), "landsat_time_series")</f>
        <v>landsat_time_series</v>
      </c>
      <c r="J86" s="3" t="str">
        <f>HYPERLINK(CONCATENATE("https://jstnbraaten.users.earthengine.app/view/landsat-timeseries-explorer#run=true;lon=-69.69267595615655;lat=19.01344885055337;from=01-01;to=12-31;index=NBR;rgb=NIR%2FRED%2FGREEN;chipwidth=1;"), "landsat_chips")</f>
        <v>landsat_chips</v>
      </c>
      <c r="K86" s="3" t="str">
        <f>HYPERLINK(CONCATENATE("https://livingatlas.arcgis.com/wayback/#ext=-69.69367595615655,19.01444885055337,-69.69167595615654,19.01244885055337"), "wayback")</f>
        <v>wayback</v>
      </c>
      <c r="L86" s="2" t="s">
        <v>21</v>
      </c>
      <c r="M86" s="5"/>
      <c r="N86" s="5" t="s">
        <v>921</v>
      </c>
    </row>
    <row r="87" spans="1:14" x14ac:dyDescent="0.35">
      <c r="A87" s="2">
        <v>86</v>
      </c>
      <c r="B87" s="2" t="s">
        <v>425</v>
      </c>
      <c r="C87" s="2" t="s">
        <v>103</v>
      </c>
      <c r="D87" s="2">
        <v>2002</v>
      </c>
      <c r="E87" s="2" t="s">
        <v>10</v>
      </c>
      <c r="F87" s="2">
        <v>45</v>
      </c>
      <c r="G87" s="2">
        <v>18.30546620730637</v>
      </c>
      <c r="H87" s="2">
        <v>-68.680627943943847</v>
      </c>
      <c r="I87" s="3" t="str">
        <f>HYPERLINK(CONCATENATE("https://faluhong.users.earthengine.app/view/hispaniola-lc-validation#id=LC86;lat=18.305466207306374;lon=-68.68062794394385;year=2002;bf=40;level=18;"), "landsat_time_series")</f>
        <v>landsat_time_series</v>
      </c>
      <c r="J87" s="3" t="str">
        <f>HYPERLINK(CONCATENATE("https://jstnbraaten.users.earthengine.app/view/landsat-timeseries-explorer#run=true;lon=-68.68062794394385;lat=18.305466207306374;from=01-01;to=12-31;index=NBR;rgb=NIR%2FRED%2FGREEN;chipwidth=1;"), "landsat_chips")</f>
        <v>landsat_chips</v>
      </c>
      <c r="K87" s="3" t="str">
        <f>HYPERLINK(CONCATENATE("https://livingatlas.arcgis.com/wayback/#ext=-68.68162794394385,18.306466207306375,-68.67962794394384,18.304466207306373"), "wayback")</f>
        <v>wayback</v>
      </c>
      <c r="L87" s="2" t="s">
        <v>18</v>
      </c>
      <c r="M87" s="5"/>
      <c r="N87" s="5" t="s">
        <v>18</v>
      </c>
    </row>
    <row r="88" spans="1:14" x14ac:dyDescent="0.35">
      <c r="A88" s="2">
        <v>87</v>
      </c>
      <c r="B88" s="2" t="s">
        <v>425</v>
      </c>
      <c r="C88" s="2" t="s">
        <v>104</v>
      </c>
      <c r="D88" s="2">
        <v>2011</v>
      </c>
      <c r="E88" s="2" t="s">
        <v>10</v>
      </c>
      <c r="F88" s="2">
        <v>1188</v>
      </c>
      <c r="G88" s="2">
        <v>18.945706507596281</v>
      </c>
      <c r="H88" s="2">
        <v>-70.480883754167053</v>
      </c>
      <c r="I88" s="3" t="str">
        <f>HYPERLINK(CONCATENATE("https://faluhong.users.earthengine.app/view/hispaniola-lc-validation#id=LC87;lat=18.94570650759628;lon=-70.48088375416705;year=2011;bf=40;level=18;"), "landsat_time_series")</f>
        <v>landsat_time_series</v>
      </c>
      <c r="J88" s="3" t="str">
        <f>HYPERLINK(CONCATENATE("https://jstnbraaten.users.earthengine.app/view/landsat-timeseries-explorer#run=true;lon=-70.48088375416705;lat=18.94570650759628;from=01-01;to=12-31;index=NBR;rgb=NIR%2FRED%2FGREEN;chipwidth=1;"), "landsat_chips")</f>
        <v>landsat_chips</v>
      </c>
      <c r="K88" s="3" t="str">
        <f>HYPERLINK(CONCATENATE("https://livingatlas.arcgis.com/wayback/#ext=-70.48188375416706,18.946706507596282,-70.47988375416705,18.94470650759628"), "wayback")</f>
        <v>wayback</v>
      </c>
      <c r="L88" s="2" t="s">
        <v>38</v>
      </c>
      <c r="M88" s="5"/>
      <c r="N88" s="5" t="s">
        <v>38</v>
      </c>
    </row>
    <row r="89" spans="1:14" x14ac:dyDescent="0.35">
      <c r="A89" s="2">
        <v>88</v>
      </c>
      <c r="B89" s="2" t="s">
        <v>425</v>
      </c>
      <c r="C89" s="2" t="s">
        <v>105</v>
      </c>
      <c r="D89" s="2">
        <v>2004</v>
      </c>
      <c r="E89" s="2" t="s">
        <v>20</v>
      </c>
      <c r="F89" s="2">
        <v>581</v>
      </c>
      <c r="G89" s="2">
        <v>18.311741187904559</v>
      </c>
      <c r="H89" s="2">
        <v>-74.127933963159094</v>
      </c>
      <c r="I89" s="3" t="str">
        <f>HYPERLINK(CONCATENATE("https://faluhong.users.earthengine.app/view/hispaniola-lc-validation#id=LC88;lat=18.31174118790456;lon=-74.1279339631591;year=2004;bf=40;level=18;"), "landsat_time_series")</f>
        <v>landsat_time_series</v>
      </c>
      <c r="J89" s="3" t="str">
        <f>HYPERLINK(CONCATENATE("https://jstnbraaten.users.earthengine.app/view/landsat-timeseries-explorer#run=true;lon=-74.1279339631591;lat=18.31174118790456;from=01-01;to=12-31;index=NBR;rgb=NIR%2FRED%2FGREEN;chipwidth=1;"), "landsat_chips")</f>
        <v>landsat_chips</v>
      </c>
      <c r="K89" s="3" t="str">
        <f>HYPERLINK(CONCATENATE("https://livingatlas.arcgis.com/wayback/#ext=-74.1289339631591,18.31274118790456,-74.12693396315909,18.310741187904558"), "wayback")</f>
        <v>wayback</v>
      </c>
      <c r="L89" s="2" t="s">
        <v>21</v>
      </c>
      <c r="M89" s="5" t="b">
        <v>1</v>
      </c>
      <c r="N89" s="5" t="s">
        <v>21</v>
      </c>
    </row>
    <row r="90" spans="1:14" x14ac:dyDescent="0.35">
      <c r="A90" s="2">
        <v>89</v>
      </c>
      <c r="B90" s="2" t="s">
        <v>425</v>
      </c>
      <c r="C90" s="2" t="s">
        <v>106</v>
      </c>
      <c r="D90" s="2">
        <v>2014</v>
      </c>
      <c r="E90" s="2" t="s">
        <v>10</v>
      </c>
      <c r="F90" s="2">
        <v>127</v>
      </c>
      <c r="G90" s="2">
        <v>18.23501848104009</v>
      </c>
      <c r="H90" s="2">
        <v>-70.496942854804971</v>
      </c>
      <c r="I90" s="3" t="str">
        <f>HYPERLINK(CONCATENATE("https://faluhong.users.earthengine.app/view/hispaniola-lc-validation#id=LC89;lat=18.235018481040086;lon=-70.49694285480497;year=2014;bf=40;level=18;"), "landsat_time_series")</f>
        <v>landsat_time_series</v>
      </c>
      <c r="J90" s="3" t="str">
        <f>HYPERLINK(CONCATENATE("https://jstnbraaten.users.earthengine.app/view/landsat-timeseries-explorer#run=true;lon=-70.49694285480497;lat=18.235018481040086;from=01-01;to=12-31;index=NBR;rgb=NIR%2FRED%2FGREEN;chipwidth=1;"), "landsat_chips")</f>
        <v>landsat_chips</v>
      </c>
      <c r="K90" s="3" t="str">
        <f>HYPERLINK(CONCATENATE("https://livingatlas.arcgis.com/wayback/#ext=-70.49794285480498,18.236018481040087,-70.49594285480497,18.234018481040085"), "wayback")</f>
        <v>wayback</v>
      </c>
      <c r="L90" s="2" t="s">
        <v>921</v>
      </c>
      <c r="M90" s="5"/>
      <c r="N90" s="5" t="s">
        <v>921</v>
      </c>
    </row>
    <row r="91" spans="1:14" x14ac:dyDescent="0.35">
      <c r="A91" s="2">
        <v>90</v>
      </c>
      <c r="B91" s="2" t="s">
        <v>425</v>
      </c>
      <c r="C91" s="2" t="s">
        <v>107</v>
      </c>
      <c r="D91" s="2">
        <v>2002</v>
      </c>
      <c r="E91" s="2" t="s">
        <v>10</v>
      </c>
      <c r="F91" s="2">
        <v>64</v>
      </c>
      <c r="G91" s="2">
        <v>19.695204456244468</v>
      </c>
      <c r="H91" s="2">
        <v>-70.653719230162764</v>
      </c>
      <c r="I91" s="3" t="str">
        <f>HYPERLINK(CONCATENATE("https://faluhong.users.earthengine.app/view/hispaniola-lc-validation#id=LC90;lat=19.695204456244472;lon=-70.65371923016276;year=2002;bf=40;level=18;"), "landsat_time_series")</f>
        <v>landsat_time_series</v>
      </c>
      <c r="J91" s="3" t="str">
        <f>HYPERLINK(CONCATENATE("https://jstnbraaten.users.earthengine.app/view/landsat-timeseries-explorer#run=true;lon=-70.65371923016276;lat=19.695204456244472;from=01-01;to=12-31;index=NBR;rgb=NIR%2FRED%2FGREEN;chipwidth=1;"), "landsat_chips")</f>
        <v>landsat_chips</v>
      </c>
      <c r="K91" s="3" t="str">
        <f>HYPERLINK(CONCATENATE("https://livingatlas.arcgis.com/wayback/#ext=-70.65471923016277,19.696204456244473,-70.65271923016276,19.69420445624447"), "wayback")</f>
        <v>wayback</v>
      </c>
      <c r="L91" s="2" t="s">
        <v>21</v>
      </c>
      <c r="M91" s="5"/>
      <c r="N91" s="5" t="s">
        <v>921</v>
      </c>
    </row>
    <row r="92" spans="1:14" x14ac:dyDescent="0.35">
      <c r="A92" s="2">
        <v>91</v>
      </c>
      <c r="B92" s="2" t="s">
        <v>426</v>
      </c>
      <c r="C92" s="2" t="s">
        <v>108</v>
      </c>
      <c r="D92" s="2">
        <v>2007</v>
      </c>
      <c r="E92" s="2" t="s">
        <v>10</v>
      </c>
      <c r="F92" s="2">
        <v>46</v>
      </c>
      <c r="G92" s="2">
        <v>18.31240681622052</v>
      </c>
      <c r="H92" s="2">
        <v>-68.703425280765018</v>
      </c>
      <c r="I92" s="3" t="str">
        <f>HYPERLINK(CONCATENATE("https://faluhong.users.earthengine.app/view/hispaniola-lc-validation#id=LC91;lat=18.312406816220523;lon=-68.70342528076502;year=2007;bf=40;level=18;"), "landsat_time_series")</f>
        <v>landsat_time_series</v>
      </c>
      <c r="J92" s="3" t="str">
        <f>HYPERLINK(CONCATENATE("https://jstnbraaten.users.earthengine.app/view/landsat-timeseries-explorer#run=true;lon=-68.70342528076502;lat=18.312406816220523;from=01-01;to=12-31;index=NBR;rgb=NIR%2FRED%2FGREEN;chipwidth=1;"), "landsat_chips")</f>
        <v>landsat_chips</v>
      </c>
      <c r="K92" s="3" t="str">
        <f>HYPERLINK(CONCATENATE("https://livingatlas.arcgis.com/wayback/#ext=-68.70442528076502,18.313406816220525,-68.70242528076501,18.311406816220522"), "wayback")</f>
        <v>wayback</v>
      </c>
      <c r="L92" s="2" t="s">
        <v>18</v>
      </c>
      <c r="M92" s="5"/>
      <c r="N92" s="5" t="s">
        <v>18</v>
      </c>
    </row>
    <row r="93" spans="1:14" x14ac:dyDescent="0.35">
      <c r="A93" s="2">
        <v>92</v>
      </c>
      <c r="B93" s="2" t="s">
        <v>426</v>
      </c>
      <c r="C93" s="2" t="s">
        <v>109</v>
      </c>
      <c r="D93" s="2">
        <v>2009</v>
      </c>
      <c r="E93" s="2" t="s">
        <v>10</v>
      </c>
      <c r="F93" s="2">
        <v>127</v>
      </c>
      <c r="G93" s="2">
        <v>19.495656134177619</v>
      </c>
      <c r="H93" s="2">
        <v>-71.119913577903489</v>
      </c>
      <c r="I93" s="3" t="str">
        <f>HYPERLINK(CONCATENATE("https://faluhong.users.earthengine.app/view/hispaniola-lc-validation#id=LC92;lat=19.495656134177622;lon=-71.11991357790349;year=2009;bf=40;level=18;"), "landsat_time_series")</f>
        <v>landsat_time_series</v>
      </c>
      <c r="J93" s="3" t="str">
        <f>HYPERLINK(CONCATENATE("https://jstnbraaten.users.earthengine.app/view/landsat-timeseries-explorer#run=true;lon=-71.11991357790349;lat=19.495656134177622;from=01-01;to=12-31;index=NBR;rgb=NIR%2FRED%2FGREEN;chipwidth=1;"), "landsat_chips")</f>
        <v>landsat_chips</v>
      </c>
      <c r="K93" s="3" t="str">
        <f>HYPERLINK(CONCATENATE("https://livingatlas.arcgis.com/wayback/#ext=-71.1209135779035,19.496656134177623,-71.11891357790348,19.49465613417762"), "wayback")</f>
        <v>wayback</v>
      </c>
      <c r="L93" s="2" t="s">
        <v>21</v>
      </c>
      <c r="M93" s="5"/>
      <c r="N93" s="5" t="s">
        <v>21</v>
      </c>
    </row>
    <row r="94" spans="1:14" x14ac:dyDescent="0.35">
      <c r="A94" s="2">
        <v>93</v>
      </c>
      <c r="B94" s="2" t="s">
        <v>426</v>
      </c>
      <c r="C94" s="2" t="s">
        <v>110</v>
      </c>
      <c r="D94" s="2">
        <v>2011</v>
      </c>
      <c r="E94" s="2" t="s">
        <v>10</v>
      </c>
      <c r="F94" s="2">
        <v>197</v>
      </c>
      <c r="G94" s="2">
        <v>19.417076969073289</v>
      </c>
      <c r="H94" s="2">
        <v>-70.707827306537965</v>
      </c>
      <c r="I94" s="3" t="str">
        <f>HYPERLINK(CONCATENATE("https://faluhong.users.earthengine.app/view/hispaniola-lc-validation#id=LC93;lat=19.41707696907329;lon=-70.70782730653796;year=2011;bf=40;level=18;"), "landsat_time_series")</f>
        <v>landsat_time_series</v>
      </c>
      <c r="J94" s="3" t="str">
        <f>HYPERLINK(CONCATENATE("https://jstnbraaten.users.earthengine.app/view/landsat-timeseries-explorer#run=true;lon=-70.70782730653796;lat=19.41707696907329;from=01-01;to=12-31;index=NBR;rgb=NIR%2FRED%2FGREEN;chipwidth=1;"), "landsat_chips")</f>
        <v>landsat_chips</v>
      </c>
      <c r="K94" s="3" t="str">
        <f>HYPERLINK(CONCATENATE("https://livingatlas.arcgis.com/wayback/#ext=-70.70882730653797,19.41807696907329,-70.70682730653796,19.416076969073288"), "wayback")</f>
        <v>wayback</v>
      </c>
      <c r="L94" s="2" t="s">
        <v>11</v>
      </c>
      <c r="M94" s="5"/>
      <c r="N94" s="5" t="s">
        <v>11</v>
      </c>
    </row>
    <row r="95" spans="1:14" x14ac:dyDescent="0.35">
      <c r="A95" s="2">
        <v>94</v>
      </c>
      <c r="B95" s="2" t="s">
        <v>426</v>
      </c>
      <c r="C95" s="2" t="s">
        <v>111</v>
      </c>
      <c r="D95" s="2">
        <v>2012</v>
      </c>
      <c r="E95" s="2" t="s">
        <v>10</v>
      </c>
      <c r="F95" s="2">
        <v>4</v>
      </c>
      <c r="G95" s="2">
        <v>19.06558811027076</v>
      </c>
      <c r="H95" s="2">
        <v>-69.386856545594043</v>
      </c>
      <c r="I95" s="3" t="str">
        <f>HYPERLINK(CONCATENATE("https://faluhong.users.earthengine.app/view/hispaniola-lc-validation#id=LC94;lat=19.06558811027076;lon=-69.38685654559404;year=2012;bf=40;level=18;"), "landsat_time_series")</f>
        <v>landsat_time_series</v>
      </c>
      <c r="J95" s="3" t="str">
        <f>HYPERLINK(CONCATENATE("https://jstnbraaten.users.earthengine.app/view/landsat-timeseries-explorer#run=true;lon=-69.38685654559404;lat=19.06558811027076;from=01-01;to=12-31;index=NBR;rgb=NIR%2FRED%2FGREEN;chipwidth=1;"), "landsat_chips")</f>
        <v>landsat_chips</v>
      </c>
      <c r="K95" s="3" t="str">
        <f>HYPERLINK(CONCATENATE("https://livingatlas.arcgis.com/wayback/#ext=-69.38785654559405,19.06658811027076,-69.38585654559404,19.06458811027076"), "wayback")</f>
        <v>wayback</v>
      </c>
      <c r="L95" s="2" t="s">
        <v>11</v>
      </c>
      <c r="M95" s="5"/>
      <c r="N95" s="5" t="s">
        <v>11</v>
      </c>
    </row>
    <row r="96" spans="1:14" x14ac:dyDescent="0.35">
      <c r="A96" s="2">
        <v>95</v>
      </c>
      <c r="B96" s="2" t="s">
        <v>426</v>
      </c>
      <c r="C96" s="2" t="s">
        <v>112</v>
      </c>
      <c r="D96" s="2">
        <v>2010</v>
      </c>
      <c r="E96" s="2" t="s">
        <v>10</v>
      </c>
      <c r="F96" s="2">
        <v>0</v>
      </c>
      <c r="G96" s="2">
        <v>19.004977217565731</v>
      </c>
      <c r="H96" s="2">
        <v>-68.943767156124792</v>
      </c>
      <c r="I96" s="3" t="str">
        <f>HYPERLINK(CONCATENATE("https://faluhong.users.earthengine.app/view/hispaniola-lc-validation#id=LC95;lat=19.004977217565735;lon=-68.94376715612479;year=2010;bf=40;level=18;"), "landsat_time_series")</f>
        <v>landsat_time_series</v>
      </c>
      <c r="J96" s="3" t="str">
        <f>HYPERLINK(CONCATENATE("https://jstnbraaten.users.earthengine.app/view/landsat-timeseries-explorer#run=true;lon=-68.94376715612479;lat=19.004977217565735;from=01-01;to=12-31;index=NBR;rgb=NIR%2FRED%2FGREEN;chipwidth=1;"), "landsat_chips")</f>
        <v>landsat_chips</v>
      </c>
      <c r="K96" s="3" t="str">
        <f>HYPERLINK(CONCATENATE("https://livingatlas.arcgis.com/wayback/#ext=-68.9447671561248,19.005977217565736,-68.94276715612479,19.003977217565733"), "wayback")</f>
        <v>wayback</v>
      </c>
      <c r="L96" s="2" t="s">
        <v>15</v>
      </c>
      <c r="M96" s="5"/>
      <c r="N96" s="5" t="s">
        <v>15</v>
      </c>
    </row>
    <row r="97" spans="1:14" x14ac:dyDescent="0.35">
      <c r="A97" s="2">
        <v>96</v>
      </c>
      <c r="B97" s="2" t="s">
        <v>426</v>
      </c>
      <c r="C97" s="2" t="s">
        <v>113</v>
      </c>
      <c r="D97" s="2">
        <v>2011</v>
      </c>
      <c r="E97" s="2" t="s">
        <v>20</v>
      </c>
      <c r="F97" s="2">
        <v>136</v>
      </c>
      <c r="G97" s="2">
        <v>18.30033793056781</v>
      </c>
      <c r="H97" s="2">
        <v>-73.833526872225079</v>
      </c>
      <c r="I97" s="3" t="str">
        <f>HYPERLINK(CONCATENATE("https://faluhong.users.earthengine.app/view/hispaniola-lc-validation#id=LC96;lat=18.30033793056781;lon=-73.83352687222508;year=2011;bf=40;level=18;"), "landsat_time_series")</f>
        <v>landsat_time_series</v>
      </c>
      <c r="J97" s="3" t="str">
        <f>HYPERLINK(CONCATENATE("https://jstnbraaten.users.earthengine.app/view/landsat-timeseries-explorer#run=true;lon=-73.83352687222508;lat=18.30033793056781;from=01-01;to=12-31;index=NBR;rgb=NIR%2FRED%2FGREEN;chipwidth=1;"), "landsat_chips")</f>
        <v>landsat_chips</v>
      </c>
      <c r="K97" s="3" t="str">
        <f>HYPERLINK(CONCATENATE("https://livingatlas.arcgis.com/wayback/#ext=-73.83452687222508,18.30133793056781,-73.83252687222507,18.29933793056781"), "wayback")</f>
        <v>wayback</v>
      </c>
      <c r="L97" s="2" t="s">
        <v>921</v>
      </c>
      <c r="M97" s="5"/>
      <c r="N97" s="5" t="s">
        <v>921</v>
      </c>
    </row>
    <row r="98" spans="1:14" x14ac:dyDescent="0.35">
      <c r="A98" s="2">
        <v>97</v>
      </c>
      <c r="B98" s="2" t="s">
        <v>426</v>
      </c>
      <c r="C98" s="2" t="s">
        <v>114</v>
      </c>
      <c r="D98" s="2">
        <v>2016</v>
      </c>
      <c r="E98" s="2" t="s">
        <v>10</v>
      </c>
      <c r="F98" s="2">
        <v>136</v>
      </c>
      <c r="G98" s="2">
        <v>18.476331378281891</v>
      </c>
      <c r="H98" s="2">
        <v>-70.728970145057303</v>
      </c>
      <c r="I98" s="3" t="str">
        <f>HYPERLINK(CONCATENATE("https://faluhong.users.earthengine.app/view/hispaniola-lc-validation#id=LC97;lat=18.476331378281895;lon=-70.7289701450573;year=2016;bf=40;level=18;"), "landsat_time_series")</f>
        <v>landsat_time_series</v>
      </c>
      <c r="J98" s="3" t="str">
        <f>HYPERLINK(CONCATENATE("https://jstnbraaten.users.earthengine.app/view/landsat-timeseries-explorer#run=true;lon=-70.7289701450573;lat=18.476331378281895;from=01-01;to=12-31;index=NBR;rgb=NIR%2FRED%2FGREEN;chipwidth=1;"), "landsat_chips")</f>
        <v>landsat_chips</v>
      </c>
      <c r="K98" s="3" t="str">
        <f>HYPERLINK(CONCATENATE("https://livingatlas.arcgis.com/wayback/#ext=-70.72997014505731,18.477331378281896,-70.7279701450573,18.475331378281894"), "wayback")</f>
        <v>wayback</v>
      </c>
      <c r="L98" s="2" t="s">
        <v>13</v>
      </c>
      <c r="M98" s="5"/>
      <c r="N98" s="5" t="s">
        <v>21</v>
      </c>
    </row>
    <row r="99" spans="1:14" x14ac:dyDescent="0.35">
      <c r="A99" s="2">
        <v>98</v>
      </c>
      <c r="B99" s="2" t="s">
        <v>426</v>
      </c>
      <c r="C99" s="2" t="s">
        <v>115</v>
      </c>
      <c r="D99" s="2">
        <v>2009</v>
      </c>
      <c r="E99" s="2" t="s">
        <v>20</v>
      </c>
      <c r="F99" s="2">
        <v>282</v>
      </c>
      <c r="G99" s="2">
        <v>18.970001248322362</v>
      </c>
      <c r="H99" s="2">
        <v>-72.201223634483981</v>
      </c>
      <c r="I99" s="3" t="str">
        <f>HYPERLINK(CONCATENATE("https://faluhong.users.earthengine.app/view/hispaniola-lc-validation#id=LC98;lat=18.97000124832236;lon=-72.20122363448398;year=2009;bf=40;level=18;"), "landsat_time_series")</f>
        <v>landsat_time_series</v>
      </c>
      <c r="J99" s="3" t="str">
        <f>HYPERLINK(CONCATENATE("https://jstnbraaten.users.earthengine.app/view/landsat-timeseries-explorer#run=true;lon=-72.20122363448398;lat=18.97000124832236;from=01-01;to=12-31;index=NBR;rgb=NIR%2FRED%2FGREEN;chipwidth=1;"), "landsat_chips")</f>
        <v>landsat_chips</v>
      </c>
      <c r="K99" s="3" t="str">
        <f>HYPERLINK(CONCATENATE("https://livingatlas.arcgis.com/wayback/#ext=-72.20222363448399,18.971001248322363,-72.20022363448398,18.96900124832236"), "wayback")</f>
        <v>wayback</v>
      </c>
      <c r="L99" s="2" t="s">
        <v>921</v>
      </c>
      <c r="M99" s="5" t="b">
        <v>1</v>
      </c>
      <c r="N99" s="5" t="s">
        <v>15</v>
      </c>
    </row>
    <row r="100" spans="1:14" x14ac:dyDescent="0.35">
      <c r="A100" s="2">
        <v>99</v>
      </c>
      <c r="B100" s="2" t="s">
        <v>426</v>
      </c>
      <c r="C100" s="2" t="s">
        <v>116</v>
      </c>
      <c r="D100" s="2">
        <v>2008</v>
      </c>
      <c r="E100" s="2" t="s">
        <v>10</v>
      </c>
      <c r="F100" s="2">
        <v>85</v>
      </c>
      <c r="G100" s="2">
        <v>18.970973715549629</v>
      </c>
      <c r="H100" s="2">
        <v>-70.259714200084034</v>
      </c>
      <c r="I100" s="3" t="str">
        <f>HYPERLINK(CONCATENATE("https://faluhong.users.earthengine.app/view/hispaniola-lc-validation#id=LC99;lat=18.970973715549633;lon=-70.25971420008403;year=2008;bf=40;level=18;"), "landsat_time_series")</f>
        <v>landsat_time_series</v>
      </c>
      <c r="J100" s="3" t="str">
        <f>HYPERLINK(CONCATENATE("https://jstnbraaten.users.earthengine.app/view/landsat-timeseries-explorer#run=true;lon=-70.25971420008403;lat=18.970973715549633;from=01-01;to=12-31;index=NBR;rgb=NIR%2FRED%2FGREEN;chipwidth=1;"), "landsat_chips")</f>
        <v>landsat_chips</v>
      </c>
      <c r="K100" s="3" t="str">
        <f>HYPERLINK(CONCATENATE("https://livingatlas.arcgis.com/wayback/#ext=-70.26071420008404,18.971973715549634,-70.25871420008403,18.96997371554963"), "wayback")</f>
        <v>wayback</v>
      </c>
      <c r="L100" s="2" t="s">
        <v>15</v>
      </c>
      <c r="M100" s="5"/>
      <c r="N100" s="5" t="s">
        <v>15</v>
      </c>
    </row>
    <row r="101" spans="1:14" x14ac:dyDescent="0.35">
      <c r="A101" s="2">
        <v>100</v>
      </c>
      <c r="B101" s="2" t="s">
        <v>426</v>
      </c>
      <c r="C101" s="2" t="s">
        <v>117</v>
      </c>
      <c r="D101" s="2">
        <v>2002</v>
      </c>
      <c r="E101" s="2" t="s">
        <v>10</v>
      </c>
      <c r="F101" s="2">
        <v>1</v>
      </c>
      <c r="G101" s="2">
        <v>18.36909114502355</v>
      </c>
      <c r="H101" s="2">
        <v>-69.006316965996177</v>
      </c>
      <c r="I101" s="3" t="str">
        <f>HYPERLINK(CONCATENATE("https://faluhong.users.earthengine.app/view/hispaniola-lc-validation#id=LC100;lat=18.369091145023553;lon=-69.00631696599618;year=2002;bf=40;level=18;"), "landsat_time_series")</f>
        <v>landsat_time_series</v>
      </c>
      <c r="J101" s="3" t="str">
        <f>HYPERLINK(CONCATENATE("https://jstnbraaten.users.earthengine.app/view/landsat-timeseries-explorer#run=true;lon=-69.00631696599618;lat=18.369091145023553;from=01-01;to=12-31;index=NBR;rgb=NIR%2FRED%2FGREEN;chipwidth=1;"), "landsat_chips")</f>
        <v>landsat_chips</v>
      </c>
      <c r="K101" s="3" t="str">
        <f>HYPERLINK(CONCATENATE("https://livingatlas.arcgis.com/wayback/#ext=-69.00731696599618,18.370091145023554,-69.00531696599617,18.368091145023552"), "wayback")</f>
        <v>wayback</v>
      </c>
      <c r="L101" s="2" t="s">
        <v>18</v>
      </c>
      <c r="M101" s="5"/>
      <c r="N101" s="5" t="s">
        <v>21</v>
      </c>
    </row>
    <row r="102" spans="1:14" x14ac:dyDescent="0.35">
      <c r="A102" s="2">
        <v>101</v>
      </c>
      <c r="B102" s="2" t="s">
        <v>426</v>
      </c>
      <c r="C102" s="2" t="s">
        <v>118</v>
      </c>
      <c r="D102" s="2">
        <v>2013</v>
      </c>
      <c r="E102" s="2" t="s">
        <v>10</v>
      </c>
      <c r="F102" s="2">
        <v>1551</v>
      </c>
      <c r="G102" s="2">
        <v>19.003578616869081</v>
      </c>
      <c r="H102" s="2">
        <v>-70.692117442129188</v>
      </c>
      <c r="I102" s="3" t="str">
        <f>HYPERLINK(CONCATENATE("https://faluhong.users.earthengine.app/view/hispaniola-lc-validation#id=LC101;lat=19.003578616869078;lon=-70.69211744212919;year=2013;bf=40;level=18;"), "landsat_time_series")</f>
        <v>landsat_time_series</v>
      </c>
      <c r="J102" s="3" t="str">
        <f>HYPERLINK(CONCATENATE("https://jstnbraaten.users.earthengine.app/view/landsat-timeseries-explorer#run=true;lon=-70.69211744212919;lat=19.003578616869078;from=01-01;to=12-31;index=NBR;rgb=NIR%2FRED%2FGREEN;chipwidth=1;"), "landsat_chips")</f>
        <v>landsat_chips</v>
      </c>
      <c r="K102" s="3" t="str">
        <f>HYPERLINK(CONCATENATE("https://livingatlas.arcgis.com/wayback/#ext=-70.69311744212919,19.00457861686908,-70.69111744212918,19.002578616869076"), "wayback")</f>
        <v>wayback</v>
      </c>
      <c r="L102" s="2" t="s">
        <v>21</v>
      </c>
      <c r="M102" s="5"/>
      <c r="N102" s="5" t="s">
        <v>21</v>
      </c>
    </row>
    <row r="103" spans="1:14" x14ac:dyDescent="0.35">
      <c r="A103" s="2">
        <v>102</v>
      </c>
      <c r="B103" s="2" t="s">
        <v>426</v>
      </c>
      <c r="C103" s="2" t="s">
        <v>119</v>
      </c>
      <c r="D103" s="2">
        <v>2000</v>
      </c>
      <c r="E103" s="2" t="s">
        <v>10</v>
      </c>
      <c r="F103" s="2">
        <v>1595</v>
      </c>
      <c r="G103" s="2">
        <v>19.202553758752661</v>
      </c>
      <c r="H103" s="2">
        <v>-71.101288806231409</v>
      </c>
      <c r="I103" s="3" t="str">
        <f>HYPERLINK(CONCATENATE("https://faluhong.users.earthengine.app/view/hispaniola-lc-validation#id=LC102;lat=19.202553758752664;lon=-71.10128880623141;year=2000;bf=40;level=18;"), "landsat_time_series")</f>
        <v>landsat_time_series</v>
      </c>
      <c r="J103" s="3" t="str">
        <f>HYPERLINK(CONCATENATE("https://jstnbraaten.users.earthengine.app/view/landsat-timeseries-explorer#run=true;lon=-71.10128880623141;lat=19.202553758752664;from=01-01;to=12-31;index=NBR;rgb=NIR%2FRED%2FGREEN;chipwidth=1;"), "landsat_chips")</f>
        <v>landsat_chips</v>
      </c>
      <c r="K103" s="3" t="str">
        <f>HYPERLINK(CONCATENATE("https://livingatlas.arcgis.com/wayback/#ext=-71.10228880623141,19.203553758752665,-71.1002888062314,19.201553758752663"), "wayback")</f>
        <v>wayback</v>
      </c>
      <c r="L103" s="2" t="s">
        <v>38</v>
      </c>
      <c r="M103" s="5"/>
      <c r="N103" s="5" t="s">
        <v>38</v>
      </c>
    </row>
    <row r="104" spans="1:14" x14ac:dyDescent="0.35">
      <c r="A104" s="2">
        <v>103</v>
      </c>
      <c r="B104" s="2" t="s">
        <v>426</v>
      </c>
      <c r="C104" s="2" t="s">
        <v>120</v>
      </c>
      <c r="D104" s="2">
        <v>2021</v>
      </c>
      <c r="E104" s="2" t="s">
        <v>20</v>
      </c>
      <c r="F104" s="2">
        <v>374</v>
      </c>
      <c r="G104" s="2">
        <v>19.348740501275881</v>
      </c>
      <c r="H104" s="2">
        <v>-72.224110043369265</v>
      </c>
      <c r="I104" s="3" t="str">
        <f>HYPERLINK(CONCATENATE("https://faluhong.users.earthengine.app/view/hispaniola-lc-validation#id=LC103;lat=19.348740501275877;lon=-72.22411004336927;year=2021;bf=40;level=18;"), "landsat_time_series")</f>
        <v>landsat_time_series</v>
      </c>
      <c r="J104" s="3" t="str">
        <f>HYPERLINK(CONCATENATE("https://jstnbraaten.users.earthengine.app/view/landsat-timeseries-explorer#run=true;lon=-72.22411004336927;lat=19.348740501275877;from=01-01;to=12-31;index=NBR;rgb=NIR%2FRED%2FGREEN;chipwidth=1;"), "landsat_chips")</f>
        <v>landsat_chips</v>
      </c>
      <c r="K104" s="3" t="str">
        <f>HYPERLINK(CONCATENATE("https://livingatlas.arcgis.com/wayback/#ext=-72.22511004336927,19.34974050127588,-72.22311004336926,19.347740501275876"), "wayback")</f>
        <v>wayback</v>
      </c>
      <c r="L104" s="2" t="s">
        <v>21</v>
      </c>
      <c r="M104" s="5"/>
      <c r="N104" s="5" t="s">
        <v>921</v>
      </c>
    </row>
    <row r="105" spans="1:14" x14ac:dyDescent="0.35">
      <c r="A105" s="2">
        <v>104</v>
      </c>
      <c r="B105" s="2" t="s">
        <v>426</v>
      </c>
      <c r="C105" s="2" t="s">
        <v>121</v>
      </c>
      <c r="D105" s="2">
        <v>1999</v>
      </c>
      <c r="E105" s="2" t="s">
        <v>10</v>
      </c>
      <c r="F105" s="2">
        <v>58</v>
      </c>
      <c r="G105" s="2">
        <v>19.190610079172959</v>
      </c>
      <c r="H105" s="2">
        <v>-70.363434074604243</v>
      </c>
      <c r="I105" s="3" t="str">
        <f>HYPERLINK(CONCATENATE("https://faluhong.users.earthengine.app/view/hispaniola-lc-validation#id=LC104;lat=19.190610079172956;lon=-70.36343407460424;year=1999;bf=40;level=18;"), "landsat_time_series")</f>
        <v>landsat_time_series</v>
      </c>
      <c r="J105" s="3" t="str">
        <f>HYPERLINK(CONCATENATE("https://jstnbraaten.users.earthengine.app/view/landsat-timeseries-explorer#run=true;lon=-70.36343407460424;lat=19.190610079172956;from=01-01;to=12-31;index=NBR;rgb=NIR%2FRED%2FGREEN;chipwidth=1;"), "landsat_chips")</f>
        <v>landsat_chips</v>
      </c>
      <c r="K105" s="3" t="str">
        <f>HYPERLINK(CONCATENATE("https://livingatlas.arcgis.com/wayback/#ext=-70.36443407460425,19.191610079172957,-70.36243407460424,19.189610079172954"), "wayback")</f>
        <v>wayback</v>
      </c>
      <c r="L105" s="2" t="s">
        <v>921</v>
      </c>
      <c r="M105" s="5"/>
      <c r="N105" s="5" t="s">
        <v>921</v>
      </c>
    </row>
    <row r="106" spans="1:14" x14ac:dyDescent="0.35">
      <c r="A106" s="2">
        <v>105</v>
      </c>
      <c r="B106" s="2" t="s">
        <v>426</v>
      </c>
      <c r="C106" s="2" t="s">
        <v>122</v>
      </c>
      <c r="D106" s="2">
        <v>2008</v>
      </c>
      <c r="E106" s="2" t="s">
        <v>10</v>
      </c>
      <c r="F106" s="2">
        <v>380</v>
      </c>
      <c r="G106" s="2">
        <v>19.516491625569291</v>
      </c>
      <c r="H106" s="2">
        <v>-70.260948024907108</v>
      </c>
      <c r="I106" s="3" t="str">
        <f>HYPERLINK(CONCATENATE("https://faluhong.users.earthengine.app/view/hispaniola-lc-validation#id=LC105;lat=19.516491625569294;lon=-70.26094802490711;year=2008;bf=40;level=18;"), "landsat_time_series")</f>
        <v>landsat_time_series</v>
      </c>
      <c r="J106" s="3" t="str">
        <f>HYPERLINK(CONCATENATE("https://jstnbraaten.users.earthengine.app/view/landsat-timeseries-explorer#run=true;lon=-70.26094802490711;lat=19.516491625569294;from=01-01;to=12-31;index=NBR;rgb=NIR%2FRED%2FGREEN;chipwidth=1;"), "landsat_chips")</f>
        <v>landsat_chips</v>
      </c>
      <c r="K106" s="3" t="str">
        <f>HYPERLINK(CONCATENATE("https://livingatlas.arcgis.com/wayback/#ext=-70.26194802490711,19.517491625569296,-70.2599480249071,19.515491625569293"), "wayback")</f>
        <v>wayback</v>
      </c>
      <c r="L106" s="2" t="s">
        <v>21</v>
      </c>
      <c r="M106" s="5"/>
      <c r="N106" s="5" t="s">
        <v>21</v>
      </c>
    </row>
    <row r="107" spans="1:14" x14ac:dyDescent="0.35">
      <c r="A107" s="2">
        <v>106</v>
      </c>
      <c r="B107" s="2" t="s">
        <v>426</v>
      </c>
      <c r="C107" s="2" t="s">
        <v>123</v>
      </c>
      <c r="D107" s="2">
        <v>2014</v>
      </c>
      <c r="E107" s="2" t="s">
        <v>20</v>
      </c>
      <c r="F107" s="2">
        <v>615</v>
      </c>
      <c r="G107" s="2">
        <v>18.484099167458229</v>
      </c>
      <c r="H107" s="2">
        <v>-74.208968474490561</v>
      </c>
      <c r="I107" s="3" t="str">
        <f>HYPERLINK(CONCATENATE("https://faluhong.users.earthengine.app/view/hispaniola-lc-validation#id=LC106;lat=18.484099167458233;lon=-74.20896847449056;year=2014;bf=40;level=18;"), "landsat_time_series")</f>
        <v>landsat_time_series</v>
      </c>
      <c r="J107" s="3" t="str">
        <f>HYPERLINK(CONCATENATE("https://jstnbraaten.users.earthengine.app/view/landsat-timeseries-explorer#run=true;lon=-74.20896847449056;lat=18.484099167458233;from=01-01;to=12-31;index=NBR;rgb=NIR%2FRED%2FGREEN;chipwidth=1;"), "landsat_chips")</f>
        <v>landsat_chips</v>
      </c>
      <c r="K107" s="3" t="str">
        <f>HYPERLINK(CONCATENATE("https://livingatlas.arcgis.com/wayback/#ext=-74.20996847449057,18.485099167458234,-74.20796847449056,18.48309916745823"), "wayback")</f>
        <v>wayback</v>
      </c>
      <c r="L107" s="2" t="s">
        <v>21</v>
      </c>
      <c r="M107" s="5"/>
      <c r="N107" s="5" t="s">
        <v>21</v>
      </c>
    </row>
    <row r="108" spans="1:14" x14ac:dyDescent="0.35">
      <c r="A108" s="2">
        <v>107</v>
      </c>
      <c r="B108" s="2" t="s">
        <v>426</v>
      </c>
      <c r="C108" s="2" t="s">
        <v>124</v>
      </c>
      <c r="D108" s="2">
        <v>2010</v>
      </c>
      <c r="E108" s="2" t="s">
        <v>10</v>
      </c>
      <c r="F108" s="2">
        <v>1003</v>
      </c>
      <c r="G108" s="2">
        <v>19.23950904746177</v>
      </c>
      <c r="H108" s="2">
        <v>-71.018694673333542</v>
      </c>
      <c r="I108" s="3" t="str">
        <f>HYPERLINK(CONCATENATE("https://faluhong.users.earthengine.app/view/hispaniola-lc-validation#id=LC107;lat=19.23950904746177;lon=-71.01869467333354;year=2010;bf=40;level=18;"), "landsat_time_series")</f>
        <v>landsat_time_series</v>
      </c>
      <c r="J108" s="3" t="str">
        <f>HYPERLINK(CONCATENATE("https://jstnbraaten.users.earthengine.app/view/landsat-timeseries-explorer#run=true;lon=-71.01869467333354;lat=19.23950904746177;from=01-01;to=12-31;index=NBR;rgb=NIR%2FRED%2FGREEN;chipwidth=1;"), "landsat_chips")</f>
        <v>landsat_chips</v>
      </c>
      <c r="K108" s="3" t="str">
        <f>HYPERLINK(CONCATENATE("https://livingatlas.arcgis.com/wayback/#ext=-71.01969467333355,19.24050904746177,-71.01769467333354,19.23850904746177"), "wayback")</f>
        <v>wayback</v>
      </c>
      <c r="L108" s="2" t="s">
        <v>38</v>
      </c>
      <c r="M108" s="5"/>
      <c r="N108" s="5" t="s">
        <v>38</v>
      </c>
    </row>
    <row r="109" spans="1:14" x14ac:dyDescent="0.35">
      <c r="A109" s="2">
        <v>108</v>
      </c>
      <c r="B109" s="2" t="s">
        <v>426</v>
      </c>
      <c r="C109" s="2" t="s">
        <v>125</v>
      </c>
      <c r="D109" s="2">
        <v>2007</v>
      </c>
      <c r="E109" s="2" t="s">
        <v>10</v>
      </c>
      <c r="F109" s="2">
        <v>2491</v>
      </c>
      <c r="G109" s="2">
        <v>18.804858758592211</v>
      </c>
      <c r="H109" s="2">
        <v>-70.630705885131874</v>
      </c>
      <c r="I109" s="3" t="str">
        <f>HYPERLINK(CONCATENATE("https://faluhong.users.earthengine.app/view/hispaniola-lc-validation#id=LC108;lat=18.804858758592214;lon=-70.63070588513187;year=2007;bf=40;level=18;"), "landsat_time_series")</f>
        <v>landsat_time_series</v>
      </c>
      <c r="J109" s="3" t="str">
        <f>HYPERLINK(CONCATENATE("https://jstnbraaten.users.earthengine.app/view/landsat-timeseries-explorer#run=true;lon=-70.63070588513187;lat=18.804858758592214;from=01-01;to=12-31;index=NBR;rgb=NIR%2FRED%2FGREEN;chipwidth=1;"), "landsat_chips")</f>
        <v>landsat_chips</v>
      </c>
      <c r="K109" s="3" t="str">
        <f>HYPERLINK(CONCATENATE("https://livingatlas.arcgis.com/wayback/#ext=-70.63170588513188,18.805858758592215,-70.62970588513187,18.803858758592213"), "wayback")</f>
        <v>wayback</v>
      </c>
      <c r="L109" s="2" t="s">
        <v>38</v>
      </c>
      <c r="M109" s="5"/>
      <c r="N109" s="5" t="s">
        <v>38</v>
      </c>
    </row>
    <row r="110" spans="1:14" x14ac:dyDescent="0.35">
      <c r="A110" s="2">
        <v>109</v>
      </c>
      <c r="B110" s="2" t="s">
        <v>426</v>
      </c>
      <c r="C110" s="2" t="s">
        <v>126</v>
      </c>
      <c r="D110" s="2">
        <v>2008</v>
      </c>
      <c r="E110" s="2" t="s">
        <v>10</v>
      </c>
      <c r="F110" s="2">
        <v>25</v>
      </c>
      <c r="G110" s="2">
        <v>18.905616691452131</v>
      </c>
      <c r="H110" s="2">
        <v>-68.710063279003847</v>
      </c>
      <c r="I110" s="3" t="str">
        <f>HYPERLINK(CONCATENATE("https://faluhong.users.earthengine.app/view/hispaniola-lc-validation#id=LC109;lat=18.905616691452128;lon=-68.71006327900385;year=2008;bf=40;level=18;"), "landsat_time_series")</f>
        <v>landsat_time_series</v>
      </c>
      <c r="J110" s="3" t="str">
        <f>HYPERLINK(CONCATENATE("https://jstnbraaten.users.earthengine.app/view/landsat-timeseries-explorer#run=true;lon=-68.71006327900385;lat=18.905616691452128;from=01-01;to=12-31;index=NBR;rgb=NIR%2FRED%2FGREEN;chipwidth=1;"), "landsat_chips")</f>
        <v>landsat_chips</v>
      </c>
      <c r="K110" s="3" t="str">
        <f>HYPERLINK(CONCATENATE("https://livingatlas.arcgis.com/wayback/#ext=-68.71106327900385,18.90661669145213,-68.70906327900384,18.904616691452127"), "wayback")</f>
        <v>wayback</v>
      </c>
      <c r="L110" s="2" t="s">
        <v>921</v>
      </c>
      <c r="M110" s="5"/>
      <c r="N110" s="5" t="s">
        <v>921</v>
      </c>
    </row>
    <row r="111" spans="1:14" x14ac:dyDescent="0.35">
      <c r="A111" s="2">
        <v>110</v>
      </c>
      <c r="B111" s="2" t="s">
        <v>426</v>
      </c>
      <c r="C111" s="2" t="s">
        <v>127</v>
      </c>
      <c r="D111" s="2">
        <v>2014</v>
      </c>
      <c r="E111" s="2" t="s">
        <v>20</v>
      </c>
      <c r="F111" s="2">
        <v>10</v>
      </c>
      <c r="G111" s="2">
        <v>18.239797978950921</v>
      </c>
      <c r="H111" s="2">
        <v>-73.604087321880868</v>
      </c>
      <c r="I111" s="3" t="str">
        <f>HYPERLINK(CONCATENATE("https://faluhong.users.earthengine.app/view/hispaniola-lc-validation#id=LC110;lat=18.239797978950918;lon=-73.60408732188087;year=2014;bf=40;level=18;"), "landsat_time_series")</f>
        <v>landsat_time_series</v>
      </c>
      <c r="J111" s="3" t="str">
        <f>HYPERLINK(CONCATENATE("https://jstnbraaten.users.earthengine.app/view/landsat-timeseries-explorer#run=true;lon=-73.60408732188087;lat=18.239797978950918;from=01-01;to=12-31;index=NBR;rgb=NIR%2FRED%2FGREEN;chipwidth=1;"), "landsat_chips")</f>
        <v>landsat_chips</v>
      </c>
      <c r="K111" s="3" t="str">
        <f>HYPERLINK(CONCATENATE("https://livingatlas.arcgis.com/wayback/#ext=-73.60508732188087,18.24079797895092,-73.60308732188086,18.238797978950917"), "wayback")</f>
        <v>wayback</v>
      </c>
      <c r="L111" s="2" t="s">
        <v>11</v>
      </c>
      <c r="M111" s="5" t="b">
        <v>1</v>
      </c>
      <c r="N111" s="5" t="s">
        <v>11</v>
      </c>
    </row>
    <row r="112" spans="1:14" x14ac:dyDescent="0.35">
      <c r="A112" s="2">
        <v>111</v>
      </c>
      <c r="B112" s="2" t="s">
        <v>426</v>
      </c>
      <c r="C112" s="2" t="s">
        <v>128</v>
      </c>
      <c r="D112" s="2">
        <v>2010</v>
      </c>
      <c r="E112" s="2" t="s">
        <v>10</v>
      </c>
      <c r="F112" s="2">
        <v>320</v>
      </c>
      <c r="G112" s="2">
        <v>19.19921057997642</v>
      </c>
      <c r="H112" s="2">
        <v>-70.570745376345371</v>
      </c>
      <c r="I112" s="3" t="str">
        <f>HYPERLINK(CONCATENATE("https://faluhong.users.earthengine.app/view/hispaniola-lc-validation#id=LC111;lat=19.199210579976423;lon=-70.57074537634537;year=2010;bf=40;level=18;"), "landsat_time_series")</f>
        <v>landsat_time_series</v>
      </c>
      <c r="J112" s="3" t="str">
        <f>HYPERLINK(CONCATENATE("https://jstnbraaten.users.earthengine.app/view/landsat-timeseries-explorer#run=true;lon=-70.57074537634537;lat=19.199210579976423;from=01-01;to=12-31;index=NBR;rgb=NIR%2FRED%2FGREEN;chipwidth=1;"), "landsat_chips")</f>
        <v>landsat_chips</v>
      </c>
      <c r="K112" s="3" t="str">
        <f>HYPERLINK(CONCATENATE("https://livingatlas.arcgis.com/wayback/#ext=-70.57174537634538,19.200210579976424,-70.56974537634537,19.198210579976422"), "wayback")</f>
        <v>wayback</v>
      </c>
      <c r="L112" s="2" t="s">
        <v>18</v>
      </c>
      <c r="M112" s="5"/>
      <c r="N112" s="5" t="s">
        <v>18</v>
      </c>
    </row>
    <row r="113" spans="1:14" x14ac:dyDescent="0.35">
      <c r="A113" s="2">
        <v>112</v>
      </c>
      <c r="B113" s="2" t="s">
        <v>426</v>
      </c>
      <c r="C113" s="2" t="s">
        <v>129</v>
      </c>
      <c r="D113" s="2">
        <v>2012</v>
      </c>
      <c r="E113" s="2" t="s">
        <v>20</v>
      </c>
      <c r="F113" s="2">
        <v>465</v>
      </c>
      <c r="G113" s="2">
        <v>18.270054837326249</v>
      </c>
      <c r="H113" s="2">
        <v>-73.170116354436772</v>
      </c>
      <c r="I113" s="3" t="str">
        <f>HYPERLINK(CONCATENATE("https://faluhong.users.earthengine.app/view/hispaniola-lc-validation#id=LC112;lat=18.27005483732625;lon=-73.17011635443677;year=2012;bf=40;level=18;"), "landsat_time_series")</f>
        <v>landsat_time_series</v>
      </c>
      <c r="J113" s="3" t="str">
        <f>HYPERLINK(CONCATENATE("https://jstnbraaten.users.earthengine.app/view/landsat-timeseries-explorer#run=true;lon=-73.17011635443677;lat=18.27005483732625;from=01-01;to=12-31;index=NBR;rgb=NIR%2FRED%2FGREEN;chipwidth=1;"), "landsat_chips")</f>
        <v>landsat_chips</v>
      </c>
      <c r="K113" s="3" t="str">
        <f>HYPERLINK(CONCATENATE("https://livingatlas.arcgis.com/wayback/#ext=-73.17111635443678,18.27105483732625,-73.16911635443677,18.269054837326248"), "wayback")</f>
        <v>wayback</v>
      </c>
      <c r="L113" s="2" t="s">
        <v>21</v>
      </c>
      <c r="M113" s="5"/>
      <c r="N113" s="5" t="s">
        <v>21</v>
      </c>
    </row>
    <row r="114" spans="1:14" x14ac:dyDescent="0.35">
      <c r="A114" s="2">
        <v>113</v>
      </c>
      <c r="B114" s="2" t="s">
        <v>426</v>
      </c>
      <c r="C114" s="2" t="s">
        <v>130</v>
      </c>
      <c r="D114" s="2">
        <v>2005</v>
      </c>
      <c r="E114" s="2" t="s">
        <v>20</v>
      </c>
      <c r="F114" s="2">
        <v>3</v>
      </c>
      <c r="G114" s="2">
        <v>19.356637926486801</v>
      </c>
      <c r="H114" s="2">
        <v>-72.709008670092345</v>
      </c>
      <c r="I114" s="3" t="str">
        <f>HYPERLINK(CONCATENATE("https://faluhong.users.earthengine.app/view/hispaniola-lc-validation#id=LC113;lat=19.356637926486798;lon=-72.70900867009235;year=2005;bf=40;level=18;"), "landsat_time_series")</f>
        <v>landsat_time_series</v>
      </c>
      <c r="J114" s="3" t="str">
        <f>HYPERLINK(CONCATENATE("https://jstnbraaten.users.earthengine.app/view/landsat-timeseries-explorer#run=true;lon=-72.70900867009235;lat=19.356637926486798;from=01-01;to=12-31;index=NBR;rgb=NIR%2FRED%2FGREEN;chipwidth=1;"), "landsat_chips")</f>
        <v>landsat_chips</v>
      </c>
      <c r="K114" s="3" t="str">
        <f>HYPERLINK(CONCATENATE("https://livingatlas.arcgis.com/wayback/#ext=-72.71000867009235,19.3576379264868,-72.70800867009234,19.355637926486796"), "wayback")</f>
        <v>wayback</v>
      </c>
      <c r="L114" s="2" t="s">
        <v>24</v>
      </c>
      <c r="M114" s="5"/>
      <c r="N114" s="5" t="s">
        <v>24</v>
      </c>
    </row>
    <row r="115" spans="1:14" x14ac:dyDescent="0.35">
      <c r="A115" s="2">
        <v>114</v>
      </c>
      <c r="B115" s="2" t="s">
        <v>426</v>
      </c>
      <c r="C115" s="2" t="s">
        <v>131</v>
      </c>
      <c r="D115" s="2">
        <v>1999</v>
      </c>
      <c r="E115" s="2" t="s">
        <v>10</v>
      </c>
      <c r="F115" s="2">
        <v>653</v>
      </c>
      <c r="G115" s="2">
        <v>19.28058785522164</v>
      </c>
      <c r="H115" s="2">
        <v>-71.697382569684819</v>
      </c>
      <c r="I115" s="3" t="str">
        <f>HYPERLINK(CONCATENATE("https://faluhong.users.earthengine.app/view/hispaniola-lc-validation#id=LC114;lat=19.280587855221643;lon=-71.69738256968482;year=1999;bf=40;level=18;"), "landsat_time_series")</f>
        <v>landsat_time_series</v>
      </c>
      <c r="J115" s="3" t="str">
        <f>HYPERLINK(CONCATENATE("https://jstnbraaten.users.earthengine.app/view/landsat-timeseries-explorer#run=true;lon=-71.69738256968482;lat=19.280587855221643;from=01-01;to=12-31;index=NBR;rgb=NIR%2FRED%2FGREEN;chipwidth=1;"), "landsat_chips")</f>
        <v>landsat_chips</v>
      </c>
      <c r="K115" s="3" t="str">
        <f>HYPERLINK(CONCATENATE("https://livingatlas.arcgis.com/wayback/#ext=-71.69838256968482,19.281587855221645,-71.69638256968481,19.279587855221642"), "wayback")</f>
        <v>wayback</v>
      </c>
      <c r="L115" s="2" t="s">
        <v>21</v>
      </c>
      <c r="M115" s="5"/>
      <c r="N115" s="5" t="s">
        <v>21</v>
      </c>
    </row>
    <row r="116" spans="1:14" x14ac:dyDescent="0.35">
      <c r="A116" s="2">
        <v>115</v>
      </c>
      <c r="B116" s="2" t="s">
        <v>426</v>
      </c>
      <c r="C116" s="2" t="s">
        <v>132</v>
      </c>
      <c r="D116" s="2">
        <v>2020</v>
      </c>
      <c r="E116" s="2" t="s">
        <v>10</v>
      </c>
      <c r="F116" s="2">
        <v>451</v>
      </c>
      <c r="G116" s="2">
        <v>18.834195566571939</v>
      </c>
      <c r="H116" s="2">
        <v>-71.18945949938103</v>
      </c>
      <c r="I116" s="3" t="str">
        <f>HYPERLINK(CONCATENATE("https://faluhong.users.earthengine.app/view/hispaniola-lc-validation#id=LC115;lat=18.834195566571942;lon=-71.18945949938103;year=2020;bf=40;level=18;"), "landsat_time_series")</f>
        <v>landsat_time_series</v>
      </c>
      <c r="J116" s="3" t="str">
        <f>HYPERLINK(CONCATENATE("https://jstnbraaten.users.earthengine.app/view/landsat-timeseries-explorer#run=true;lon=-71.18945949938103;lat=18.834195566571942;from=01-01;to=12-31;index=NBR;rgb=NIR%2FRED%2FGREEN;chipwidth=1;"), "landsat_chips")</f>
        <v>landsat_chips</v>
      </c>
      <c r="K116" s="3" t="str">
        <f>HYPERLINK(CONCATENATE("https://livingatlas.arcgis.com/wayback/#ext=-71.19045949938103,18.835195566571944,-71.18845949938103,18.83319556657194"), "wayback")</f>
        <v>wayback</v>
      </c>
      <c r="L116" s="2" t="s">
        <v>13</v>
      </c>
      <c r="M116" s="5"/>
      <c r="N116" s="5" t="s">
        <v>921</v>
      </c>
    </row>
    <row r="117" spans="1:14" x14ac:dyDescent="0.35">
      <c r="A117" s="2">
        <v>116</v>
      </c>
      <c r="B117" s="2" t="s">
        <v>426</v>
      </c>
      <c r="C117" s="2" t="s">
        <v>133</v>
      </c>
      <c r="D117" s="2">
        <v>2011</v>
      </c>
      <c r="E117" s="2" t="s">
        <v>10</v>
      </c>
      <c r="F117" s="2">
        <v>4</v>
      </c>
      <c r="G117" s="2">
        <v>19.075047382414329</v>
      </c>
      <c r="H117" s="2">
        <v>-69.4231564579039</v>
      </c>
      <c r="I117" s="3" t="str">
        <f>HYPERLINK(CONCATENATE("https://faluhong.users.earthengine.app/view/hispaniola-lc-validation#id=LC116;lat=19.075047382414326;lon=-69.4231564579039;year=2011;bf=40;level=18;"), "landsat_time_series")</f>
        <v>landsat_time_series</v>
      </c>
      <c r="J117" s="3" t="str">
        <f>HYPERLINK(CONCATENATE("https://jstnbraaten.users.earthengine.app/view/landsat-timeseries-explorer#run=true;lon=-69.4231564579039;lat=19.075047382414326;from=01-01;to=12-31;index=NBR;rgb=NIR%2FRED%2FGREEN;chipwidth=1;"), "landsat_chips")</f>
        <v>landsat_chips</v>
      </c>
      <c r="K117" s="3" t="str">
        <f>HYPERLINK(CONCATENATE("https://livingatlas.arcgis.com/wayback/#ext=-69.4241564579039,19.076047382414327,-69.4221564579039,19.074047382414324"), "wayback")</f>
        <v>wayback</v>
      </c>
      <c r="L117" s="2" t="s">
        <v>921</v>
      </c>
      <c r="M117" s="5"/>
      <c r="N117" s="5" t="s">
        <v>921</v>
      </c>
    </row>
    <row r="118" spans="1:14" x14ac:dyDescent="0.35">
      <c r="A118" s="2">
        <v>117</v>
      </c>
      <c r="B118" s="2" t="s">
        <v>426</v>
      </c>
      <c r="C118" s="2" t="s">
        <v>134</v>
      </c>
      <c r="D118" s="2">
        <v>1996</v>
      </c>
      <c r="E118" s="2" t="s">
        <v>20</v>
      </c>
      <c r="F118" s="2">
        <v>273</v>
      </c>
      <c r="G118" s="2">
        <v>20.019490512141591</v>
      </c>
      <c r="H118" s="2">
        <v>-72.710761385515909</v>
      </c>
      <c r="I118" s="3" t="str">
        <f>HYPERLINK(CONCATENATE("https://faluhong.users.earthengine.app/view/hispaniola-lc-validation#id=LC117;lat=20.019490512141594;lon=-72.71076138551591;year=1996;bf=40;level=18;"), "landsat_time_series")</f>
        <v>landsat_time_series</v>
      </c>
      <c r="J118" s="3" t="str">
        <f>HYPERLINK(CONCATENATE("https://jstnbraaten.users.earthengine.app/view/landsat-timeseries-explorer#run=true;lon=-72.71076138551591;lat=20.019490512141594;from=01-01;to=12-31;index=NBR;rgb=NIR%2FRED%2FGREEN;chipwidth=1;"), "landsat_chips")</f>
        <v>landsat_chips</v>
      </c>
      <c r="K118" s="3" t="str">
        <f>HYPERLINK(CONCATENATE("https://livingatlas.arcgis.com/wayback/#ext=-72.71176138551591,20.020490512141595,-72.7097613855159,20.018490512141593"), "wayback")</f>
        <v>wayback</v>
      </c>
      <c r="L118" s="2" t="s">
        <v>921</v>
      </c>
      <c r="M118" s="5" t="b">
        <v>1</v>
      </c>
      <c r="N118" s="5"/>
    </row>
    <row r="119" spans="1:14" x14ac:dyDescent="0.35">
      <c r="A119" s="2">
        <v>118</v>
      </c>
      <c r="B119" s="2" t="s">
        <v>426</v>
      </c>
      <c r="C119" s="2" t="s">
        <v>135</v>
      </c>
      <c r="D119" s="2">
        <v>2022</v>
      </c>
      <c r="E119" s="2" t="s">
        <v>20</v>
      </c>
      <c r="F119" s="2">
        <v>135</v>
      </c>
      <c r="G119" s="2">
        <v>18.55785752592924</v>
      </c>
      <c r="H119" s="2">
        <v>-73.942314872437976</v>
      </c>
      <c r="I119" s="3" t="str">
        <f>HYPERLINK(CONCATENATE("https://faluhong.users.earthengine.app/view/hispaniola-lc-validation#id=LC118;lat=18.55785752592924;lon=-73.94231487243798;year=2022;bf=40;level=18;"), "landsat_time_series")</f>
        <v>landsat_time_series</v>
      </c>
      <c r="J119" s="3" t="str">
        <f>HYPERLINK(CONCATENATE("https://jstnbraaten.users.earthengine.app/view/landsat-timeseries-explorer#run=true;lon=-73.94231487243798;lat=18.55785752592924;from=01-01;to=12-31;index=NBR;rgb=NIR%2FRED%2FGREEN;chipwidth=1;"), "landsat_chips")</f>
        <v>landsat_chips</v>
      </c>
      <c r="K119" s="3" t="str">
        <f>HYPERLINK(CONCATENATE("https://livingatlas.arcgis.com/wayback/#ext=-73.94331487243798,18.55885752592924,-73.94131487243797,18.55685752592924"), "wayback")</f>
        <v>wayback</v>
      </c>
      <c r="L119" s="2" t="s">
        <v>21</v>
      </c>
      <c r="M119" s="5"/>
      <c r="N119" s="5" t="s">
        <v>21</v>
      </c>
    </row>
    <row r="120" spans="1:14" x14ac:dyDescent="0.35">
      <c r="A120" s="2">
        <v>119</v>
      </c>
      <c r="B120" s="2" t="s">
        <v>426</v>
      </c>
      <c r="C120" s="2" t="s">
        <v>136</v>
      </c>
      <c r="D120" s="2">
        <v>2017</v>
      </c>
      <c r="E120" s="2" t="s">
        <v>10</v>
      </c>
      <c r="F120" s="2">
        <v>1397</v>
      </c>
      <c r="G120" s="2">
        <v>18.880000087651251</v>
      </c>
      <c r="H120" s="2">
        <v>-70.630823152783009</v>
      </c>
      <c r="I120" s="3" t="str">
        <f>HYPERLINK(CONCATENATE("https://faluhong.users.earthengine.app/view/hispaniola-lc-validation#id=LC119;lat=18.880000087651247;lon=-70.63082315278301;year=2017;bf=40;level=18;"), "landsat_time_series")</f>
        <v>landsat_time_series</v>
      </c>
      <c r="J120" s="3" t="str">
        <f>HYPERLINK(CONCATENATE("https://jstnbraaten.users.earthengine.app/view/landsat-timeseries-explorer#run=true;lon=-70.63082315278301;lat=18.880000087651247;from=01-01;to=12-31;index=NBR;rgb=NIR%2FRED%2FGREEN;chipwidth=1;"), "landsat_chips")</f>
        <v>landsat_chips</v>
      </c>
      <c r="K120" s="3" t="str">
        <f>HYPERLINK(CONCATENATE("https://livingatlas.arcgis.com/wayback/#ext=-70.63182315278301,18.88100008765125,-70.629823152783,18.879000087651246"), "wayback")</f>
        <v>wayback</v>
      </c>
      <c r="L120" s="2" t="s">
        <v>38</v>
      </c>
      <c r="M120" s="5"/>
      <c r="N120" s="5" t="s">
        <v>38</v>
      </c>
    </row>
    <row r="121" spans="1:14" x14ac:dyDescent="0.35">
      <c r="A121" s="2">
        <v>120</v>
      </c>
      <c r="B121" s="2" t="s">
        <v>426</v>
      </c>
      <c r="C121" s="2" t="s">
        <v>137</v>
      </c>
      <c r="D121" s="2">
        <v>1997</v>
      </c>
      <c r="E121" s="2" t="s">
        <v>10</v>
      </c>
      <c r="F121" s="2">
        <v>43</v>
      </c>
      <c r="G121" s="2">
        <v>18.309081949622421</v>
      </c>
      <c r="H121" s="2">
        <v>-68.773605330017531</v>
      </c>
      <c r="I121" s="3" t="str">
        <f>HYPERLINK(CONCATENATE("https://faluhong.users.earthengine.app/view/hispaniola-lc-validation#id=LC120;lat=18.30908194962242;lon=-68.77360533001753;year=1997;bf=40;level=18;"), "landsat_time_series")</f>
        <v>landsat_time_series</v>
      </c>
      <c r="J121" s="3" t="str">
        <f>HYPERLINK(CONCATENATE("https://jstnbraaten.users.earthengine.app/view/landsat-timeseries-explorer#run=true;lon=-68.77360533001753;lat=18.30908194962242;from=01-01;to=12-31;index=NBR;rgb=NIR%2FRED%2FGREEN;chipwidth=1;"), "landsat_chips")</f>
        <v>landsat_chips</v>
      </c>
      <c r="K121" s="3" t="str">
        <f>HYPERLINK(CONCATENATE("https://livingatlas.arcgis.com/wayback/#ext=-68.77460533001754,18.310081949622422,-68.77260533001753,18.30808194962242"), "wayback")</f>
        <v>wayback</v>
      </c>
      <c r="L121" s="2" t="s">
        <v>18</v>
      </c>
      <c r="M121" s="5"/>
      <c r="N121" s="5" t="s">
        <v>18</v>
      </c>
    </row>
    <row r="122" spans="1:14" x14ac:dyDescent="0.35">
      <c r="A122" s="2">
        <v>121</v>
      </c>
      <c r="B122" s="2" t="s">
        <v>426</v>
      </c>
      <c r="C122" s="2" t="s">
        <v>138</v>
      </c>
      <c r="D122" s="2">
        <v>2021</v>
      </c>
      <c r="E122" s="2" t="s">
        <v>20</v>
      </c>
      <c r="F122" s="2">
        <v>602</v>
      </c>
      <c r="G122" s="2">
        <v>18.780136758937619</v>
      </c>
      <c r="H122" s="2">
        <v>-72.924225450945983</v>
      </c>
      <c r="I122" s="3" t="str">
        <f>HYPERLINK(CONCATENATE("https://faluhong.users.earthengine.app/view/hispaniola-lc-validation#id=LC121;lat=18.780136758937616;lon=-72.92422545094598;year=2021;bf=40;level=18;"), "landsat_time_series")</f>
        <v>landsat_time_series</v>
      </c>
      <c r="J122" s="3" t="str">
        <f>HYPERLINK(CONCATENATE("https://jstnbraaten.users.earthengine.app/view/landsat-timeseries-explorer#run=true;lon=-72.92422545094598;lat=18.780136758937616;from=01-01;to=12-31;index=NBR;rgb=NIR%2FRED%2FGREEN;chipwidth=1;"), "landsat_chips")</f>
        <v>landsat_chips</v>
      </c>
      <c r="K122" s="3" t="str">
        <f>HYPERLINK(CONCATENATE("https://livingatlas.arcgis.com/wayback/#ext=-72.92522545094599,18.781136758937617,-72.92322545094598,18.779136758937614"), "wayback")</f>
        <v>wayback</v>
      </c>
      <c r="L122" s="2" t="s">
        <v>921</v>
      </c>
      <c r="M122" s="5"/>
      <c r="N122" s="5" t="s">
        <v>921</v>
      </c>
    </row>
    <row r="123" spans="1:14" x14ac:dyDescent="0.35">
      <c r="A123" s="2">
        <v>122</v>
      </c>
      <c r="B123" s="2" t="s">
        <v>426</v>
      </c>
      <c r="C123" s="2" t="s">
        <v>139</v>
      </c>
      <c r="D123" s="2">
        <v>2016</v>
      </c>
      <c r="E123" s="2" t="s">
        <v>10</v>
      </c>
      <c r="F123" s="2">
        <v>178</v>
      </c>
      <c r="G123" s="2">
        <v>19.362150646513641</v>
      </c>
      <c r="H123" s="2">
        <v>-70.309518143992946</v>
      </c>
      <c r="I123" s="3" t="str">
        <f>HYPERLINK(CONCATENATE("https://faluhong.users.earthengine.app/view/hispaniola-lc-validation#id=LC122;lat=19.362150646513637;lon=-70.30951814399295;year=2016;bf=40;level=18;"), "landsat_time_series")</f>
        <v>landsat_time_series</v>
      </c>
      <c r="J123" s="3" t="str">
        <f>HYPERLINK(CONCATENATE("https://jstnbraaten.users.earthengine.app/view/landsat-timeseries-explorer#run=true;lon=-70.30951814399295;lat=19.362150646513637;from=01-01;to=12-31;index=NBR;rgb=NIR%2FRED%2FGREEN;chipwidth=1;"), "landsat_chips")</f>
        <v>landsat_chips</v>
      </c>
      <c r="K123" s="3" t="str">
        <f>HYPERLINK(CONCATENATE("https://livingatlas.arcgis.com/wayback/#ext=-70.31051814399295,19.36315064651364,-70.30851814399294,19.361150646513636"), "wayback")</f>
        <v>wayback</v>
      </c>
      <c r="L123" s="2" t="s">
        <v>11</v>
      </c>
      <c r="M123" s="5"/>
      <c r="N123" s="5" t="s">
        <v>921</v>
      </c>
    </row>
    <row r="124" spans="1:14" x14ac:dyDescent="0.35">
      <c r="A124" s="2">
        <v>123</v>
      </c>
      <c r="B124" s="2" t="s">
        <v>426</v>
      </c>
      <c r="C124" s="2" t="s">
        <v>140</v>
      </c>
      <c r="D124" s="2">
        <v>1998</v>
      </c>
      <c r="E124" s="2" t="s">
        <v>10</v>
      </c>
      <c r="F124" s="2">
        <v>47</v>
      </c>
      <c r="G124" s="2">
        <v>18.31515195925742</v>
      </c>
      <c r="H124" s="2">
        <v>-68.778136473289678</v>
      </c>
      <c r="I124" s="3" t="str">
        <f>HYPERLINK(CONCATENATE("https://faluhong.users.earthengine.app/view/hispaniola-lc-validation#id=LC123;lat=18.315151959257417;lon=-68.77813647328968;year=1998;bf=40;level=18;"), "landsat_time_series")</f>
        <v>landsat_time_series</v>
      </c>
      <c r="J124" s="3" t="str">
        <f>HYPERLINK(CONCATENATE("https://jstnbraaten.users.earthengine.app/view/landsat-timeseries-explorer#run=true;lon=-68.77813647328968;lat=18.315151959257417;from=01-01;to=12-31;index=NBR;rgb=NIR%2FRED%2FGREEN;chipwidth=1;"), "landsat_chips")</f>
        <v>landsat_chips</v>
      </c>
      <c r="K124" s="3" t="str">
        <f>HYPERLINK(CONCATENATE("https://livingatlas.arcgis.com/wayback/#ext=-68.77913647328968,18.316151959257418,-68.77713647328967,18.314151959257416"), "wayback")</f>
        <v>wayback</v>
      </c>
      <c r="L124" s="2" t="s">
        <v>18</v>
      </c>
      <c r="M124" s="5"/>
      <c r="N124" s="5" t="s">
        <v>18</v>
      </c>
    </row>
    <row r="125" spans="1:14" x14ac:dyDescent="0.35">
      <c r="A125" s="2">
        <v>124</v>
      </c>
      <c r="B125" s="2" t="s">
        <v>426</v>
      </c>
      <c r="C125" s="2" t="s">
        <v>141</v>
      </c>
      <c r="D125" s="2">
        <v>1997</v>
      </c>
      <c r="E125" s="2" t="s">
        <v>10</v>
      </c>
      <c r="F125" s="2">
        <v>233</v>
      </c>
      <c r="G125" s="2">
        <v>17.725927382968742</v>
      </c>
      <c r="H125" s="2">
        <v>-71.463230402370542</v>
      </c>
      <c r="I125" s="3" t="str">
        <f>HYPERLINK(CONCATENATE("https://faluhong.users.earthengine.app/view/hispaniola-lc-validation#id=LC124;lat=17.72592738296874;lon=-71.46323040237054;year=1997;bf=40;level=18;"), "landsat_time_series")</f>
        <v>landsat_time_series</v>
      </c>
      <c r="J125" s="3" t="str">
        <f>HYPERLINK(CONCATENATE("https://jstnbraaten.users.earthengine.app/view/landsat-timeseries-explorer#run=true;lon=-71.46323040237054;lat=17.72592738296874;from=01-01;to=12-31;index=NBR;rgb=NIR%2FRED%2FGREEN;chipwidth=1;"), "landsat_chips")</f>
        <v>landsat_chips</v>
      </c>
      <c r="K125" s="3" t="str">
        <f>HYPERLINK(CONCATENATE("https://livingatlas.arcgis.com/wayback/#ext=-71.46423040237055,17.726927382968743,-71.46223040237054,17.72492738296874"), "wayback")</f>
        <v>wayback</v>
      </c>
      <c r="L125" s="2" t="s">
        <v>18</v>
      </c>
      <c r="M125" s="5"/>
      <c r="N125" s="5" t="s">
        <v>18</v>
      </c>
    </row>
    <row r="126" spans="1:14" x14ac:dyDescent="0.35">
      <c r="A126" s="2">
        <v>125</v>
      </c>
      <c r="B126" s="2" t="s">
        <v>426</v>
      </c>
      <c r="C126" s="2" t="s">
        <v>142</v>
      </c>
      <c r="D126" s="2">
        <v>2015</v>
      </c>
      <c r="E126" s="2" t="s">
        <v>20</v>
      </c>
      <c r="F126" s="2">
        <v>42</v>
      </c>
      <c r="G126" s="2">
        <v>19.039470180796069</v>
      </c>
      <c r="H126" s="2">
        <v>-72.39288468643764</v>
      </c>
      <c r="I126" s="3" t="str">
        <f>HYPERLINK(CONCATENATE("https://faluhong.users.earthengine.app/view/hispaniola-lc-validation#id=LC125;lat=19.03947018079607;lon=-72.39288468643764;year=2015;bf=40;level=18;"), "landsat_time_series")</f>
        <v>landsat_time_series</v>
      </c>
      <c r="J126" s="3" t="str">
        <f>HYPERLINK(CONCATENATE("https://jstnbraaten.users.earthengine.app/view/landsat-timeseries-explorer#run=true;lon=-72.39288468643764;lat=19.03947018079607;from=01-01;to=12-31;index=NBR;rgb=NIR%2FRED%2FGREEN;chipwidth=1;"), "landsat_chips")</f>
        <v>landsat_chips</v>
      </c>
      <c r="K126" s="3" t="str">
        <f>HYPERLINK(CONCATENATE("https://livingatlas.arcgis.com/wayback/#ext=-72.39388468643764,19.04047018079607,-72.39188468643763,19.038470180796068"), "wayback")</f>
        <v>wayback</v>
      </c>
      <c r="L126" s="2" t="s">
        <v>921</v>
      </c>
      <c r="M126" s="5"/>
      <c r="N126" s="5" t="s">
        <v>921</v>
      </c>
    </row>
    <row r="127" spans="1:14" x14ac:dyDescent="0.35">
      <c r="A127" s="2">
        <v>126</v>
      </c>
      <c r="B127" s="2" t="s">
        <v>426</v>
      </c>
      <c r="C127" s="2" t="s">
        <v>143</v>
      </c>
      <c r="D127" s="2">
        <v>2005</v>
      </c>
      <c r="E127" s="2" t="s">
        <v>10</v>
      </c>
      <c r="F127" s="2">
        <v>85</v>
      </c>
      <c r="G127" s="2">
        <v>18.986687098301751</v>
      </c>
      <c r="H127" s="2">
        <v>-70.246298011149662</v>
      </c>
      <c r="I127" s="3" t="str">
        <f>HYPERLINK(CONCATENATE("https://faluhong.users.earthengine.app/view/hispaniola-lc-validation#id=LC126;lat=18.986687098301754;lon=-70.24629801114966;year=2005;bf=40;level=18;"), "landsat_time_series")</f>
        <v>landsat_time_series</v>
      </c>
      <c r="J127" s="3" t="str">
        <f>HYPERLINK(CONCATENATE("https://jstnbraaten.users.earthengine.app/view/landsat-timeseries-explorer#run=true;lon=-70.24629801114966;lat=18.986687098301754;from=01-01;to=12-31;index=NBR;rgb=NIR%2FRED%2FGREEN;chipwidth=1;"), "landsat_chips")</f>
        <v>landsat_chips</v>
      </c>
      <c r="K127" s="3" t="str">
        <f>HYPERLINK(CONCATENATE("https://livingatlas.arcgis.com/wayback/#ext=-70.24729801114967,18.987687098301755,-70.24529801114966,18.985687098301753"), "wayback")</f>
        <v>wayback</v>
      </c>
      <c r="L127" s="2" t="s">
        <v>15</v>
      </c>
      <c r="M127" s="5"/>
      <c r="N127" s="5" t="s">
        <v>15</v>
      </c>
    </row>
    <row r="128" spans="1:14" x14ac:dyDescent="0.35">
      <c r="A128" s="2">
        <v>127</v>
      </c>
      <c r="B128" s="2" t="s">
        <v>426</v>
      </c>
      <c r="C128" s="2" t="s">
        <v>144</v>
      </c>
      <c r="D128" s="2">
        <v>2017</v>
      </c>
      <c r="E128" s="2" t="s">
        <v>10</v>
      </c>
      <c r="F128" s="2">
        <v>53</v>
      </c>
      <c r="G128" s="2">
        <v>17.772113496047162</v>
      </c>
      <c r="H128" s="2">
        <v>-71.638635584173997</v>
      </c>
      <c r="I128" s="3" t="str">
        <f>HYPERLINK(CONCATENATE("https://faluhong.users.earthengine.app/view/hispaniola-lc-validation#id=LC127;lat=17.77211349604716;lon=-71.638635584174;year=2017;bf=40;level=18;"), "landsat_time_series")</f>
        <v>landsat_time_series</v>
      </c>
      <c r="J128" s="3" t="str">
        <f>HYPERLINK(CONCATENATE("https://jstnbraaten.users.earthengine.app/view/landsat-timeseries-explorer#run=true;lon=-71.638635584174;lat=17.77211349604716;from=01-01;to=12-31;index=NBR;rgb=NIR%2FRED%2FGREEN;chipwidth=1;"), "landsat_chips")</f>
        <v>landsat_chips</v>
      </c>
      <c r="K128" s="3" t="str">
        <f>HYPERLINK(CONCATENATE("https://livingatlas.arcgis.com/wayback/#ext=-71.639635584174,17.773113496047163,-71.63763558417399,17.77111349604716"), "wayback")</f>
        <v>wayback</v>
      </c>
      <c r="L128" s="2" t="s">
        <v>13</v>
      </c>
      <c r="M128" s="5"/>
      <c r="N128" s="5" t="s">
        <v>13</v>
      </c>
    </row>
    <row r="129" spans="1:14" x14ac:dyDescent="0.35">
      <c r="A129" s="2">
        <v>128</v>
      </c>
      <c r="B129" s="2" t="s">
        <v>426</v>
      </c>
      <c r="C129" s="2" t="s">
        <v>145</v>
      </c>
      <c r="D129" s="2">
        <v>2021</v>
      </c>
      <c r="E129" s="2" t="s">
        <v>20</v>
      </c>
      <c r="F129" s="2">
        <v>759</v>
      </c>
      <c r="G129" s="2">
        <v>19.1796216143603</v>
      </c>
      <c r="H129" s="2">
        <v>-71.859807366548324</v>
      </c>
      <c r="I129" s="3" t="str">
        <f>HYPERLINK(CONCATENATE("https://faluhong.users.earthengine.app/view/hispaniola-lc-validation#id=LC128;lat=19.1796216143603;lon=-71.85980736654832;year=2021;bf=40;level=18;"), "landsat_time_series")</f>
        <v>landsat_time_series</v>
      </c>
      <c r="J129" s="3" t="str">
        <f>HYPERLINK(CONCATENATE("https://jstnbraaten.users.earthengine.app/view/landsat-timeseries-explorer#run=true;lon=-71.85980736654832;lat=19.1796216143603;from=01-01;to=12-31;index=NBR;rgb=NIR%2FRED%2FGREEN;chipwidth=1;"), "landsat_chips")</f>
        <v>landsat_chips</v>
      </c>
      <c r="K129" s="3" t="str">
        <f>HYPERLINK(CONCATENATE("https://livingatlas.arcgis.com/wayback/#ext=-71.86080736654833,19.1806216143603,-71.85880736654832,19.1786216143603"), "wayback")</f>
        <v>wayback</v>
      </c>
      <c r="L129" s="2" t="s">
        <v>921</v>
      </c>
      <c r="M129" s="5"/>
      <c r="N129" s="5" t="s">
        <v>921</v>
      </c>
    </row>
    <row r="130" spans="1:14" x14ac:dyDescent="0.35">
      <c r="A130" s="2">
        <v>129</v>
      </c>
      <c r="B130" s="2" t="s">
        <v>426</v>
      </c>
      <c r="C130" s="2" t="s">
        <v>146</v>
      </c>
      <c r="D130" s="2">
        <v>2000</v>
      </c>
      <c r="E130" s="2" t="s">
        <v>10</v>
      </c>
      <c r="F130" s="2">
        <v>125</v>
      </c>
      <c r="G130" s="2">
        <v>18.361391579428059</v>
      </c>
      <c r="H130" s="2">
        <v>-70.233143088252206</v>
      </c>
      <c r="I130" s="3" t="str">
        <f>HYPERLINK(CONCATENATE("https://faluhong.users.earthengine.app/view/hispaniola-lc-validation#id=LC129;lat=18.361391579428055;lon=-70.2331430882522;year=2000;bf=40;level=18;"), "landsat_time_series")</f>
        <v>landsat_time_series</v>
      </c>
      <c r="J130" s="3" t="str">
        <f>HYPERLINK(CONCATENATE("https://jstnbraaten.users.earthengine.app/view/landsat-timeseries-explorer#run=true;lon=-70.2331430882522;lat=18.361391579428055;from=01-01;to=12-31;index=NBR;rgb=NIR%2FRED%2FGREEN;chipwidth=1;"), "landsat_chips")</f>
        <v>landsat_chips</v>
      </c>
      <c r="K130" s="3" t="str">
        <f>HYPERLINK(CONCATENATE("https://livingatlas.arcgis.com/wayback/#ext=-70.23414308825221,18.362391579428056,-70.2321430882522,18.360391579428054"), "wayback")</f>
        <v>wayback</v>
      </c>
      <c r="L130" s="2" t="s">
        <v>21</v>
      </c>
      <c r="M130" s="5"/>
      <c r="N130" s="5" t="s">
        <v>21</v>
      </c>
    </row>
    <row r="131" spans="1:14" x14ac:dyDescent="0.35">
      <c r="A131" s="2">
        <v>130</v>
      </c>
      <c r="B131" s="2" t="s">
        <v>426</v>
      </c>
      <c r="C131" s="2" t="s">
        <v>147</v>
      </c>
      <c r="D131" s="2">
        <v>2021</v>
      </c>
      <c r="E131" s="2" t="s">
        <v>20</v>
      </c>
      <c r="F131" s="2">
        <v>171</v>
      </c>
      <c r="G131" s="2">
        <v>18.347609205579481</v>
      </c>
      <c r="H131" s="2">
        <v>-73.819810504918706</v>
      </c>
      <c r="I131" s="3" t="str">
        <f>HYPERLINK(CONCATENATE("https://faluhong.users.earthengine.app/view/hispaniola-lc-validation#id=LC130;lat=18.347609205579484;lon=-73.8198105049187;year=2021;bf=40;level=18;"), "landsat_time_series")</f>
        <v>landsat_time_series</v>
      </c>
      <c r="J131" s="3" t="str">
        <f>HYPERLINK(CONCATENATE("https://jstnbraaten.users.earthengine.app/view/landsat-timeseries-explorer#run=true;lon=-73.8198105049187;lat=18.347609205579484;from=01-01;to=12-31;index=NBR;rgb=NIR%2FRED%2FGREEN;chipwidth=1;"), "landsat_chips")</f>
        <v>landsat_chips</v>
      </c>
      <c r="K131" s="3" t="str">
        <f>HYPERLINK(CONCATENATE("https://livingatlas.arcgis.com/wayback/#ext=-73.82081050491871,18.348609205579486,-73.8188105049187,18.346609205579483"), "wayback")</f>
        <v>wayback</v>
      </c>
      <c r="L131" s="2" t="s">
        <v>21</v>
      </c>
      <c r="M131" s="5" t="b">
        <v>1</v>
      </c>
      <c r="N131" s="5"/>
    </row>
    <row r="132" spans="1:14" x14ac:dyDescent="0.35">
      <c r="A132" s="2">
        <v>131</v>
      </c>
      <c r="B132" s="2" t="s">
        <v>426</v>
      </c>
      <c r="C132" s="2" t="s">
        <v>148</v>
      </c>
      <c r="D132" s="2">
        <v>2010</v>
      </c>
      <c r="E132" s="2" t="s">
        <v>10</v>
      </c>
      <c r="F132" s="2">
        <v>33</v>
      </c>
      <c r="G132" s="2">
        <v>18.601282425318558</v>
      </c>
      <c r="H132" s="2">
        <v>-69.479236093788018</v>
      </c>
      <c r="I132" s="3" t="str">
        <f>HYPERLINK(CONCATENATE("https://faluhong.users.earthengine.app/view/hispaniola-lc-validation#id=LC131;lat=18.60128242531856;lon=-69.47923609378802;year=2010;bf=40;level=18;"), "landsat_time_series")</f>
        <v>landsat_time_series</v>
      </c>
      <c r="J132" s="3" t="str">
        <f>HYPERLINK(CONCATENATE("https://jstnbraaten.users.earthengine.app/view/landsat-timeseries-explorer#run=true;lon=-69.47923609378802;lat=18.60128242531856;from=01-01;to=12-31;index=NBR;rgb=NIR%2FRED%2FGREEN;chipwidth=1;"), "landsat_chips")</f>
        <v>landsat_chips</v>
      </c>
      <c r="K132" s="3" t="str">
        <f>HYPERLINK(CONCATENATE("https://livingatlas.arcgis.com/wayback/#ext=-69.48023609378802,18.60228242531856,-69.47823609378801,18.600282425318557"), "wayback")</f>
        <v>wayback</v>
      </c>
      <c r="L132" s="2" t="s">
        <v>21</v>
      </c>
      <c r="M132" s="5"/>
      <c r="N132" s="5" t="s">
        <v>21</v>
      </c>
    </row>
    <row r="133" spans="1:14" x14ac:dyDescent="0.35">
      <c r="A133" s="2">
        <v>132</v>
      </c>
      <c r="B133" s="2" t="s">
        <v>426</v>
      </c>
      <c r="C133" s="2" t="s">
        <v>149</v>
      </c>
      <c r="D133" s="2">
        <v>2011</v>
      </c>
      <c r="E133" s="2" t="s">
        <v>20</v>
      </c>
      <c r="F133" s="2">
        <v>1583</v>
      </c>
      <c r="G133" s="2">
        <v>18.31410977166324</v>
      </c>
      <c r="H133" s="2">
        <v>-72.181567146554954</v>
      </c>
      <c r="I133" s="3" t="str">
        <f>HYPERLINK(CONCATENATE("https://faluhong.users.earthengine.app/view/hispaniola-lc-validation#id=LC132;lat=18.31410977166324;lon=-72.18156714655495;year=2011;bf=40;level=18;"), "landsat_time_series")</f>
        <v>landsat_time_series</v>
      </c>
      <c r="J133" s="3" t="str">
        <f>HYPERLINK(CONCATENATE("https://jstnbraaten.users.earthengine.app/view/landsat-timeseries-explorer#run=true;lon=-72.18156714655495;lat=18.31410977166324;from=01-01;to=12-31;index=NBR;rgb=NIR%2FRED%2FGREEN;chipwidth=1;"), "landsat_chips")</f>
        <v>landsat_chips</v>
      </c>
      <c r="K133" s="3" t="str">
        <f>HYPERLINK(CONCATENATE("https://livingatlas.arcgis.com/wayback/#ext=-72.18256714655496,18.31510977166324,-72.18056714655495,18.31310977166324"), "wayback")</f>
        <v>wayback</v>
      </c>
      <c r="L133" s="2" t="s">
        <v>921</v>
      </c>
      <c r="M133" s="5"/>
      <c r="N133" s="5" t="s">
        <v>921</v>
      </c>
    </row>
    <row r="134" spans="1:14" x14ac:dyDescent="0.35">
      <c r="A134" s="2">
        <v>133</v>
      </c>
      <c r="B134" s="2" t="s">
        <v>426</v>
      </c>
      <c r="C134" s="2" t="s">
        <v>150</v>
      </c>
      <c r="D134" s="2">
        <v>2005</v>
      </c>
      <c r="E134" s="2" t="s">
        <v>20</v>
      </c>
      <c r="F134" s="2">
        <v>609</v>
      </c>
      <c r="G134" s="2">
        <v>18.843792675809251</v>
      </c>
      <c r="H134" s="2">
        <v>-72.447983130909492</v>
      </c>
      <c r="I134" s="3" t="str">
        <f>HYPERLINK(CONCATENATE("https://faluhong.users.earthengine.app/view/hispaniola-lc-validation#id=LC133;lat=18.84379267580925;lon=-72.44798313090949;year=2005;bf=40;level=18;"), "landsat_time_series")</f>
        <v>landsat_time_series</v>
      </c>
      <c r="J134" s="3" t="str">
        <f>HYPERLINK(CONCATENATE("https://jstnbraaten.users.earthengine.app/view/landsat-timeseries-explorer#run=true;lon=-72.44798313090949;lat=18.84379267580925;from=01-01;to=12-31;index=NBR;rgb=NIR%2FRED%2FGREEN;chipwidth=1;"), "landsat_chips")</f>
        <v>landsat_chips</v>
      </c>
      <c r="K134" s="3" t="str">
        <f>HYPERLINK(CONCATENATE("https://livingatlas.arcgis.com/wayback/#ext=-72.4489831309095,18.844792675809252,-72.44698313090949,18.84279267580925"), "wayback")</f>
        <v>wayback</v>
      </c>
      <c r="L134" s="2" t="s">
        <v>921</v>
      </c>
      <c r="M134" s="5"/>
      <c r="N134" s="5" t="s">
        <v>921</v>
      </c>
    </row>
    <row r="135" spans="1:14" x14ac:dyDescent="0.35">
      <c r="A135" s="2">
        <v>134</v>
      </c>
      <c r="B135" s="2" t="s">
        <v>426</v>
      </c>
      <c r="C135" s="2" t="s">
        <v>151</v>
      </c>
      <c r="D135" s="2">
        <v>2001</v>
      </c>
      <c r="E135" s="2" t="s">
        <v>20</v>
      </c>
      <c r="F135" s="2">
        <v>470</v>
      </c>
      <c r="G135" s="2">
        <v>19.721831041253981</v>
      </c>
      <c r="H135" s="2">
        <v>-73.427820755325527</v>
      </c>
      <c r="I135" s="3" t="str">
        <f>HYPERLINK(CONCATENATE("https://faluhong.users.earthengine.app/view/hispaniola-lc-validation#id=LC134;lat=19.72183104125398;lon=-73.42782075532553;year=2001;bf=40;level=18;"), "landsat_time_series")</f>
        <v>landsat_time_series</v>
      </c>
      <c r="J135" s="3" t="str">
        <f>HYPERLINK(CONCATENATE("https://jstnbraaten.users.earthengine.app/view/landsat-timeseries-explorer#run=true;lon=-73.42782075532553;lat=19.72183104125398;from=01-01;to=12-31;index=NBR;rgb=NIR%2FRED%2FGREEN;chipwidth=1;"), "landsat_chips")</f>
        <v>landsat_chips</v>
      </c>
      <c r="K135" s="3" t="str">
        <f>HYPERLINK(CONCATENATE("https://livingatlas.arcgis.com/wayback/#ext=-73.42882075532553,19.722831041253983,-73.42682075532552,19.72083104125398"), "wayback")</f>
        <v>wayback</v>
      </c>
      <c r="L135" s="2" t="s">
        <v>921</v>
      </c>
      <c r="M135" s="5"/>
      <c r="N135" s="5" t="s">
        <v>921</v>
      </c>
    </row>
    <row r="136" spans="1:14" x14ac:dyDescent="0.35">
      <c r="A136" s="2">
        <v>135</v>
      </c>
      <c r="B136" s="2" t="s">
        <v>426</v>
      </c>
      <c r="C136" s="2" t="s">
        <v>152</v>
      </c>
      <c r="D136" s="2">
        <v>1999</v>
      </c>
      <c r="E136" s="2" t="s">
        <v>10</v>
      </c>
      <c r="F136" s="2">
        <v>35</v>
      </c>
      <c r="G136" s="2">
        <v>18.294362537048819</v>
      </c>
      <c r="H136" s="2">
        <v>-68.704895214162605</v>
      </c>
      <c r="I136" s="3" t="str">
        <f>HYPERLINK(CONCATENATE("https://faluhong.users.earthengine.app/view/hispaniola-lc-validation#id=LC135;lat=18.29436253704882;lon=-68.7048952141626;year=1999;bf=40;level=18;"), "landsat_time_series")</f>
        <v>landsat_time_series</v>
      </c>
      <c r="J136" s="3" t="str">
        <f>HYPERLINK(CONCATENATE("https://jstnbraaten.users.earthengine.app/view/landsat-timeseries-explorer#run=true;lon=-68.7048952141626;lat=18.29436253704882;from=01-01;to=12-31;index=NBR;rgb=NIR%2FRED%2FGREEN;chipwidth=1;"), "landsat_chips")</f>
        <v>landsat_chips</v>
      </c>
      <c r="K136" s="3" t="str">
        <f>HYPERLINK(CONCATENATE("https://livingatlas.arcgis.com/wayback/#ext=-68.70589521416261,18.29536253704882,-68.7038952141626,18.293362537048818"), "wayback")</f>
        <v>wayback</v>
      </c>
      <c r="L136" s="2" t="s">
        <v>18</v>
      </c>
      <c r="M136" s="5"/>
      <c r="N136" s="5" t="s">
        <v>18</v>
      </c>
    </row>
    <row r="137" spans="1:14" x14ac:dyDescent="0.35">
      <c r="A137" s="2">
        <v>136</v>
      </c>
      <c r="B137" s="2" t="s">
        <v>426</v>
      </c>
      <c r="C137" s="2" t="s">
        <v>153</v>
      </c>
      <c r="D137" s="2">
        <v>2015</v>
      </c>
      <c r="E137" s="2" t="s">
        <v>10</v>
      </c>
      <c r="F137" s="2">
        <v>815</v>
      </c>
      <c r="G137" s="2">
        <v>19.243637837281391</v>
      </c>
      <c r="H137" s="2">
        <v>-71.250367281668133</v>
      </c>
      <c r="I137" s="3" t="str">
        <f>HYPERLINK(CONCATENATE("https://faluhong.users.earthengine.app/view/hispaniola-lc-validation#id=LC136;lat=19.243637837281394;lon=-71.25036728166813;year=2015;bf=40;level=18;"), "landsat_time_series")</f>
        <v>landsat_time_series</v>
      </c>
      <c r="J137" s="3" t="str">
        <f>HYPERLINK(CONCATENATE("https://jstnbraaten.users.earthengine.app/view/landsat-timeseries-explorer#run=true;lon=-71.25036728166813;lat=19.243637837281394;from=01-01;to=12-31;index=NBR;rgb=NIR%2FRED%2FGREEN;chipwidth=1;"), "landsat_chips")</f>
        <v>landsat_chips</v>
      </c>
      <c r="K137" s="3" t="str">
        <f>HYPERLINK(CONCATENATE("https://livingatlas.arcgis.com/wayback/#ext=-71.25136728166814,19.244637837281395,-71.24936728166813,19.242637837281393"), "wayback")</f>
        <v>wayback</v>
      </c>
      <c r="L137" s="2" t="s">
        <v>38</v>
      </c>
      <c r="M137" s="5"/>
      <c r="N137" s="5" t="s">
        <v>38</v>
      </c>
    </row>
    <row r="138" spans="1:14" x14ac:dyDescent="0.35">
      <c r="A138" s="2">
        <v>137</v>
      </c>
      <c r="B138" s="2" t="s">
        <v>426</v>
      </c>
      <c r="C138" s="2" t="s">
        <v>154</v>
      </c>
      <c r="D138" s="2">
        <v>2017</v>
      </c>
      <c r="E138" s="2" t="s">
        <v>10</v>
      </c>
      <c r="F138" s="2">
        <v>215</v>
      </c>
      <c r="G138" s="2">
        <v>18.53976277522619</v>
      </c>
      <c r="H138" s="2">
        <v>-71.584844045063079</v>
      </c>
      <c r="I138" s="3" t="str">
        <f>HYPERLINK(CONCATENATE("https://faluhong.users.earthengine.app/view/hispaniola-lc-validation#id=LC137;lat=18.539762775226187;lon=-71.58484404506308;year=2017;bf=40;level=18;"), "landsat_time_series")</f>
        <v>landsat_time_series</v>
      </c>
      <c r="J138" s="3" t="str">
        <f>HYPERLINK(CONCATENATE("https://jstnbraaten.users.earthengine.app/view/landsat-timeseries-explorer#run=true;lon=-71.58484404506308;lat=18.539762775226187;from=01-01;to=12-31;index=NBR;rgb=NIR%2FRED%2FGREEN;chipwidth=1;"), "landsat_chips")</f>
        <v>landsat_chips</v>
      </c>
      <c r="K138" s="3" t="str">
        <f>HYPERLINK(CONCATENATE("https://livingatlas.arcgis.com/wayback/#ext=-71.58584404506308,18.540762775226188,-71.58384404506307,18.538762775226186"), "wayback")</f>
        <v>wayback</v>
      </c>
      <c r="L138" s="2" t="s">
        <v>921</v>
      </c>
      <c r="M138" s="5"/>
      <c r="N138" s="5" t="s">
        <v>921</v>
      </c>
    </row>
    <row r="139" spans="1:14" x14ac:dyDescent="0.35">
      <c r="A139" s="2">
        <v>138</v>
      </c>
      <c r="B139" s="2" t="s">
        <v>426</v>
      </c>
      <c r="C139" s="2" t="s">
        <v>155</v>
      </c>
      <c r="D139" s="2">
        <v>2017</v>
      </c>
      <c r="E139" s="2" t="s">
        <v>10</v>
      </c>
      <c r="F139" s="2">
        <v>84</v>
      </c>
      <c r="G139" s="2">
        <v>19.358673351080981</v>
      </c>
      <c r="H139" s="2">
        <v>-69.911260799865843</v>
      </c>
      <c r="I139" s="3" t="str">
        <f>HYPERLINK(CONCATENATE("https://faluhong.users.earthengine.app/view/hispaniola-lc-validation#id=LC138;lat=19.35867335108098;lon=-69.91126079986584;year=2017;bf=40;level=18;"), "landsat_time_series")</f>
        <v>landsat_time_series</v>
      </c>
      <c r="J139" s="3" t="str">
        <f>HYPERLINK(CONCATENATE("https://jstnbraaten.users.earthengine.app/view/landsat-timeseries-explorer#run=true;lon=-69.91126079986584;lat=19.35867335108098;from=01-01;to=12-31;index=NBR;rgb=NIR%2FRED%2FGREEN;chipwidth=1;"), "landsat_chips")</f>
        <v>landsat_chips</v>
      </c>
      <c r="K139" s="3" t="str">
        <f>HYPERLINK(CONCATENATE("https://livingatlas.arcgis.com/wayback/#ext=-69.91226079986585,19.359673351080982,-69.91026079986584,19.35767335108098"), "wayback")</f>
        <v>wayback</v>
      </c>
      <c r="L139" s="2" t="s">
        <v>21</v>
      </c>
      <c r="M139" s="5" t="b">
        <v>1</v>
      </c>
      <c r="N139" s="5" t="s">
        <v>21</v>
      </c>
    </row>
    <row r="140" spans="1:14" x14ac:dyDescent="0.35">
      <c r="A140" s="2">
        <v>139</v>
      </c>
      <c r="B140" s="2" t="s">
        <v>426</v>
      </c>
      <c r="C140" s="2" t="s">
        <v>156</v>
      </c>
      <c r="D140" s="2">
        <v>2015</v>
      </c>
      <c r="E140" s="2" t="s">
        <v>20</v>
      </c>
      <c r="F140" s="2">
        <v>5</v>
      </c>
      <c r="G140" s="2">
        <v>18.579320509295549</v>
      </c>
      <c r="H140" s="2">
        <v>-73.917661685114908</v>
      </c>
      <c r="I140" s="3" t="str">
        <f>HYPERLINK(CONCATENATE("https://faluhong.users.earthengine.app/view/hispaniola-lc-validation#id=LC139;lat=18.57932050929555;lon=-73.91766168511491;year=2015;bf=40;level=18;"), "landsat_time_series")</f>
        <v>landsat_time_series</v>
      </c>
      <c r="J140" s="3" t="str">
        <f>HYPERLINK(CONCATENATE("https://jstnbraaten.users.earthengine.app/view/landsat-timeseries-explorer#run=true;lon=-73.91766168511491;lat=18.57932050929555;from=01-01;to=12-31;index=NBR;rgb=NIR%2FRED%2FGREEN;chipwidth=1;"), "landsat_chips")</f>
        <v>landsat_chips</v>
      </c>
      <c r="K140" s="3" t="str">
        <f>HYPERLINK(CONCATENATE("https://livingatlas.arcgis.com/wayback/#ext=-73.91866168511491,18.58032050929555,-73.9166616851149,18.578320509295548"), "wayback")</f>
        <v>wayback</v>
      </c>
      <c r="L140" s="2" t="s">
        <v>24</v>
      </c>
      <c r="M140" s="5"/>
      <c r="N140" s="5" t="s">
        <v>24</v>
      </c>
    </row>
    <row r="141" spans="1:14" x14ac:dyDescent="0.35">
      <c r="A141" s="2">
        <v>140</v>
      </c>
      <c r="B141" s="2" t="s">
        <v>426</v>
      </c>
      <c r="C141" s="2" t="s">
        <v>157</v>
      </c>
      <c r="D141" s="2">
        <v>2021</v>
      </c>
      <c r="E141" s="2" t="s">
        <v>20</v>
      </c>
      <c r="F141" s="2">
        <v>124</v>
      </c>
      <c r="G141" s="2">
        <v>18.28597607091276</v>
      </c>
      <c r="H141" s="2">
        <v>-73.181519504745935</v>
      </c>
      <c r="I141" s="3" t="str">
        <f>HYPERLINK(CONCATENATE("https://faluhong.users.earthengine.app/view/hispaniola-lc-validation#id=LC140;lat=18.28597607091276;lon=-73.18151950474594;year=2021;bf=40;level=18;"), "landsat_time_series")</f>
        <v>landsat_time_series</v>
      </c>
      <c r="J141" s="3" t="str">
        <f>HYPERLINK(CONCATENATE("https://jstnbraaten.users.earthengine.app/view/landsat-timeseries-explorer#run=true;lon=-73.18151950474594;lat=18.28597607091276;from=01-01;to=12-31;index=NBR;rgb=NIR%2FRED%2FGREEN;chipwidth=1;"), "landsat_chips")</f>
        <v>landsat_chips</v>
      </c>
      <c r="K141" s="3" t="str">
        <f>HYPERLINK(CONCATENATE("https://livingatlas.arcgis.com/wayback/#ext=-73.18251950474594,18.28697607091276,-73.18051950474593,18.28497607091276"), "wayback")</f>
        <v>wayback</v>
      </c>
      <c r="L141" s="2" t="s">
        <v>921</v>
      </c>
      <c r="M141" s="5"/>
      <c r="N141" s="5" t="s">
        <v>921</v>
      </c>
    </row>
    <row r="142" spans="1:14" x14ac:dyDescent="0.35">
      <c r="A142" s="2">
        <v>141</v>
      </c>
      <c r="B142" s="2" t="s">
        <v>426</v>
      </c>
      <c r="C142" s="2" t="s">
        <v>158</v>
      </c>
      <c r="D142" s="2">
        <v>2021</v>
      </c>
      <c r="E142" s="2" t="s">
        <v>10</v>
      </c>
      <c r="F142" s="2">
        <v>67</v>
      </c>
      <c r="G142" s="2">
        <v>18.365139453832072</v>
      </c>
      <c r="H142" s="2">
        <v>-68.6423901583684</v>
      </c>
      <c r="I142" s="3" t="str">
        <f>HYPERLINK(CONCATENATE("https://faluhong.users.earthengine.app/view/hispaniola-lc-validation#id=LC141;lat=18.36513945383207;lon=-68.6423901583684;year=2021;bf=40;level=18;"), "landsat_time_series")</f>
        <v>landsat_time_series</v>
      </c>
      <c r="J142" s="3" t="str">
        <f>HYPERLINK(CONCATENATE("https://jstnbraaten.users.earthengine.app/view/landsat-timeseries-explorer#run=true;lon=-68.6423901583684;lat=18.36513945383207;from=01-01;to=12-31;index=NBR;rgb=NIR%2FRED%2FGREEN;chipwidth=1;"), "landsat_chips")</f>
        <v>landsat_chips</v>
      </c>
      <c r="K142" s="3" t="str">
        <f>HYPERLINK(CONCATENATE("https://livingatlas.arcgis.com/wayback/#ext=-68.6433901583684,18.366139453832073,-68.6413901583684,18.36413945383207"), "wayback")</f>
        <v>wayback</v>
      </c>
      <c r="L142" s="2" t="s">
        <v>18</v>
      </c>
      <c r="M142" s="5"/>
      <c r="N142" s="5" t="s">
        <v>18</v>
      </c>
    </row>
    <row r="143" spans="1:14" x14ac:dyDescent="0.35">
      <c r="A143" s="2">
        <v>142</v>
      </c>
      <c r="B143" s="2" t="s">
        <v>426</v>
      </c>
      <c r="C143" s="2" t="s">
        <v>159</v>
      </c>
      <c r="D143" s="2">
        <v>1996</v>
      </c>
      <c r="E143" s="2" t="s">
        <v>10</v>
      </c>
      <c r="F143" s="2">
        <v>8</v>
      </c>
      <c r="G143" s="2">
        <v>19.893027421322241</v>
      </c>
      <c r="H143" s="2">
        <v>-70.937087969294396</v>
      </c>
      <c r="I143" s="3" t="str">
        <f>HYPERLINK(CONCATENATE("https://faluhong.users.earthengine.app/view/hispaniola-lc-validation#id=LC142;lat=19.893027421322238;lon=-70.9370879692944;year=1996;bf=40;level=18;"), "landsat_time_series")</f>
        <v>landsat_time_series</v>
      </c>
      <c r="J143" s="3" t="str">
        <f>HYPERLINK(CONCATENATE("https://jstnbraaten.users.earthengine.app/view/landsat-timeseries-explorer#run=true;lon=-70.9370879692944;lat=19.893027421322238;from=01-01;to=12-31;index=NBR;rgb=NIR%2FRED%2FGREEN;chipwidth=1;"), "landsat_chips")</f>
        <v>landsat_chips</v>
      </c>
      <c r="K143" s="3" t="str">
        <f>HYPERLINK(CONCATENATE("https://livingatlas.arcgis.com/wayback/#ext=-70.9380879692944,19.89402742132224,-70.93608796929439,19.892027421322236"), "wayback")</f>
        <v>wayback</v>
      </c>
      <c r="L143" s="2" t="s">
        <v>24</v>
      </c>
      <c r="M143" s="5"/>
      <c r="N143" s="5" t="s">
        <v>24</v>
      </c>
    </row>
    <row r="144" spans="1:14" x14ac:dyDescent="0.35">
      <c r="A144" s="2">
        <v>143</v>
      </c>
      <c r="B144" s="2" t="s">
        <v>426</v>
      </c>
      <c r="C144" s="2" t="s">
        <v>160</v>
      </c>
      <c r="D144" s="2">
        <v>2009</v>
      </c>
      <c r="E144" s="2" t="s">
        <v>10</v>
      </c>
      <c r="F144" s="2">
        <v>51</v>
      </c>
      <c r="G144" s="2">
        <v>17.555666206857939</v>
      </c>
      <c r="H144" s="2">
        <v>-71.508931515533632</v>
      </c>
      <c r="I144" s="3" t="str">
        <f>HYPERLINK(CONCATENATE("https://faluhong.users.earthengine.app/view/hispaniola-lc-validation#id=LC143;lat=17.555666206857936;lon=-71.50893151553363;year=2009;bf=40;level=18;"), "landsat_time_series")</f>
        <v>landsat_time_series</v>
      </c>
      <c r="J144" s="3" t="str">
        <f>HYPERLINK(CONCATENATE("https://jstnbraaten.users.earthengine.app/view/landsat-timeseries-explorer#run=true;lon=-71.50893151553363;lat=17.555666206857936;from=01-01;to=12-31;index=NBR;rgb=NIR%2FRED%2FGREEN;chipwidth=1;"), "landsat_chips")</f>
        <v>landsat_chips</v>
      </c>
      <c r="K144" s="3" t="str">
        <f>HYPERLINK(CONCATENATE("https://livingatlas.arcgis.com/wayback/#ext=-71.50993151553364,17.556666206857937,-71.50793151553363,17.554666206857934"), "wayback")</f>
        <v>wayback</v>
      </c>
      <c r="L144" s="2" t="s">
        <v>18</v>
      </c>
      <c r="M144" s="5"/>
      <c r="N144" s="5" t="s">
        <v>18</v>
      </c>
    </row>
    <row r="145" spans="1:14" x14ac:dyDescent="0.35">
      <c r="A145" s="2">
        <v>144</v>
      </c>
      <c r="B145" s="2" t="s">
        <v>426</v>
      </c>
      <c r="C145" s="2" t="s">
        <v>161</v>
      </c>
      <c r="D145" s="2">
        <v>2010</v>
      </c>
      <c r="E145" s="2" t="s">
        <v>10</v>
      </c>
      <c r="F145" s="2">
        <v>5</v>
      </c>
      <c r="G145" s="2">
        <v>18.274946265917489</v>
      </c>
      <c r="H145" s="2">
        <v>-71.219538259818663</v>
      </c>
      <c r="I145" s="3" t="str">
        <f>HYPERLINK(CONCATENATE("https://faluhong.users.earthengine.app/view/hispaniola-lc-validation#id=LC144;lat=18.27494626591749;lon=-71.21953825981866;year=2010;bf=40;level=18;"), "landsat_time_series")</f>
        <v>landsat_time_series</v>
      </c>
      <c r="J145" s="3" t="str">
        <f>HYPERLINK(CONCATENATE("https://jstnbraaten.users.earthengine.app/view/landsat-timeseries-explorer#run=true;lon=-71.21953825981866;lat=18.27494626591749;from=01-01;to=12-31;index=NBR;rgb=NIR%2FRED%2FGREEN;chipwidth=1;"), "landsat_chips")</f>
        <v>landsat_chips</v>
      </c>
      <c r="K145" s="3" t="str">
        <f>HYPERLINK(CONCATENATE("https://livingatlas.arcgis.com/wayback/#ext=-71.22053825981867,18.27594626591749,-71.21853825981866,18.273946265917488"), "wayback")</f>
        <v>wayback</v>
      </c>
      <c r="L145" s="2" t="s">
        <v>15</v>
      </c>
      <c r="M145" s="5"/>
      <c r="N145" s="5" t="s">
        <v>15</v>
      </c>
    </row>
    <row r="146" spans="1:14" x14ac:dyDescent="0.35">
      <c r="A146" s="2">
        <v>145</v>
      </c>
      <c r="B146" s="2" t="s">
        <v>426</v>
      </c>
      <c r="C146" s="2" t="s">
        <v>162</v>
      </c>
      <c r="D146" s="2">
        <v>2017</v>
      </c>
      <c r="E146" s="2" t="s">
        <v>10</v>
      </c>
      <c r="F146" s="2">
        <v>649</v>
      </c>
      <c r="G146" s="2">
        <v>18.947913392379562</v>
      </c>
      <c r="H146" s="2">
        <v>-71.341577274118634</v>
      </c>
      <c r="I146" s="3" t="str">
        <f>HYPERLINK(CONCATENATE("https://faluhong.users.earthengine.app/view/hispaniola-lc-validation#id=LC145;lat=18.947913392379558;lon=-71.34157727411863;year=2017;bf=40;level=18;"), "landsat_time_series")</f>
        <v>landsat_time_series</v>
      </c>
      <c r="J146" s="3" t="str">
        <f>HYPERLINK(CONCATENATE("https://jstnbraaten.users.earthengine.app/view/landsat-timeseries-explorer#run=true;lon=-71.34157727411863;lat=18.947913392379558;from=01-01;to=12-31;index=NBR;rgb=NIR%2FRED%2FGREEN;chipwidth=1;"), "landsat_chips")</f>
        <v>landsat_chips</v>
      </c>
      <c r="K146" s="3" t="str">
        <f>HYPERLINK(CONCATENATE("https://livingatlas.arcgis.com/wayback/#ext=-71.34257727411864,18.94891339237956,-71.34057727411863,18.946913392379557"), "wayback")</f>
        <v>wayback</v>
      </c>
      <c r="L146" s="2" t="s">
        <v>921</v>
      </c>
      <c r="M146" s="5"/>
      <c r="N146" s="5" t="s">
        <v>921</v>
      </c>
    </row>
    <row r="147" spans="1:14" x14ac:dyDescent="0.35">
      <c r="A147" s="2">
        <v>146</v>
      </c>
      <c r="B147" s="2" t="s">
        <v>426</v>
      </c>
      <c r="C147" s="2" t="s">
        <v>163</v>
      </c>
      <c r="D147" s="2">
        <v>1998</v>
      </c>
      <c r="E147" s="2" t="s">
        <v>10</v>
      </c>
      <c r="F147" s="2">
        <v>275</v>
      </c>
      <c r="G147" s="2">
        <v>19.0111433041446</v>
      </c>
      <c r="H147" s="2">
        <v>-69.76941537884548</v>
      </c>
      <c r="I147" s="3" t="str">
        <f>HYPERLINK(CONCATENATE("https://faluhong.users.earthengine.app/view/hispaniola-lc-validation#id=LC146;lat=19.011143304144603;lon=-69.76941537884548;year=1998;bf=40;level=18;"), "landsat_time_series")</f>
        <v>landsat_time_series</v>
      </c>
      <c r="J147" s="3" t="str">
        <f>HYPERLINK(CONCATENATE("https://jstnbraaten.users.earthengine.app/view/landsat-timeseries-explorer#run=true;lon=-69.76941537884548;lat=19.011143304144603;from=01-01;to=12-31;index=NBR;rgb=NIR%2FRED%2FGREEN;chipwidth=1;"), "landsat_chips")</f>
        <v>landsat_chips</v>
      </c>
      <c r="K147" s="3" t="str">
        <f>HYPERLINK(CONCATENATE("https://livingatlas.arcgis.com/wayback/#ext=-69.77041537884548,19.012143304144605,-69.76841537884548,19.010143304144602"), "wayback")</f>
        <v>wayback</v>
      </c>
      <c r="L147" s="2" t="s">
        <v>921</v>
      </c>
      <c r="M147" s="5"/>
      <c r="N147" s="5" t="s">
        <v>21</v>
      </c>
    </row>
    <row r="148" spans="1:14" x14ac:dyDescent="0.35">
      <c r="A148" s="2">
        <v>147</v>
      </c>
      <c r="B148" s="2" t="s">
        <v>426</v>
      </c>
      <c r="C148" s="2" t="s">
        <v>164</v>
      </c>
      <c r="D148" s="2">
        <v>2019</v>
      </c>
      <c r="E148" s="2" t="s">
        <v>10</v>
      </c>
      <c r="F148" s="2">
        <v>13</v>
      </c>
      <c r="G148" s="2">
        <v>18.37997712137388</v>
      </c>
      <c r="H148" s="2">
        <v>-71.246647917435041</v>
      </c>
      <c r="I148" s="3" t="str">
        <f>HYPERLINK(CONCATENATE("https://faluhong.users.earthengine.app/view/hispaniola-lc-validation#id=LC147;lat=18.379977121373877;lon=-71.24664791743504;year=2019;bf=40;level=18;"), "landsat_time_series")</f>
        <v>landsat_time_series</v>
      </c>
      <c r="J148" s="3" t="str">
        <f>HYPERLINK(CONCATENATE("https://jstnbraaten.users.earthengine.app/view/landsat-timeseries-explorer#run=true;lon=-71.24664791743504;lat=18.379977121373877;from=01-01;to=12-31;index=NBR;rgb=NIR%2FRED%2FGREEN;chipwidth=1;"), "landsat_chips")</f>
        <v>landsat_chips</v>
      </c>
      <c r="K148" s="3" t="str">
        <f>HYPERLINK(CONCATENATE("https://livingatlas.arcgis.com/wayback/#ext=-71.24764791743505,18.380977121373878,-71.24564791743504,18.378977121373875"), "wayback")</f>
        <v>wayback</v>
      </c>
      <c r="L148" s="2" t="s">
        <v>921</v>
      </c>
      <c r="M148" s="5"/>
      <c r="N148" s="5" t="s">
        <v>921</v>
      </c>
    </row>
    <row r="149" spans="1:14" x14ac:dyDescent="0.35">
      <c r="A149" s="2">
        <v>148</v>
      </c>
      <c r="B149" s="2" t="s">
        <v>426</v>
      </c>
      <c r="C149" s="2" t="s">
        <v>165</v>
      </c>
      <c r="D149" s="2">
        <v>2006</v>
      </c>
      <c r="E149" s="2" t="s">
        <v>20</v>
      </c>
      <c r="F149" s="2">
        <v>1958</v>
      </c>
      <c r="G149" s="2">
        <v>18.274998651779281</v>
      </c>
      <c r="H149" s="2">
        <v>-71.742146127451235</v>
      </c>
      <c r="I149" s="3" t="str">
        <f>HYPERLINK(CONCATENATE("https://faluhong.users.earthengine.app/view/hispaniola-lc-validation#id=LC148;lat=18.274998651779278;lon=-71.74214612745124;year=2006;bf=40;level=18;"), "landsat_time_series")</f>
        <v>landsat_time_series</v>
      </c>
      <c r="J149" s="3" t="str">
        <f>HYPERLINK(CONCATENATE("https://jstnbraaten.users.earthengine.app/view/landsat-timeseries-explorer#run=true;lon=-71.74214612745124;lat=18.274998651779278;from=01-01;to=12-31;index=NBR;rgb=NIR%2FRED%2FGREEN;chipwidth=1;"), "landsat_chips")</f>
        <v>landsat_chips</v>
      </c>
      <c r="K149" s="3" t="str">
        <f>HYPERLINK(CONCATENATE("https://livingatlas.arcgis.com/wayback/#ext=-71.74314612745124,18.27599865177928,-71.74114612745123,18.273998651779277"), "wayback")</f>
        <v>wayback</v>
      </c>
      <c r="L149" s="2" t="s">
        <v>921</v>
      </c>
      <c r="M149" s="5"/>
      <c r="N149" s="5" t="s">
        <v>921</v>
      </c>
    </row>
    <row r="150" spans="1:14" x14ac:dyDescent="0.35">
      <c r="A150" s="2">
        <v>149</v>
      </c>
      <c r="B150" s="2" t="s">
        <v>426</v>
      </c>
      <c r="C150" s="2" t="s">
        <v>166</v>
      </c>
      <c r="D150" s="2">
        <v>2017</v>
      </c>
      <c r="E150" s="2" t="s">
        <v>10</v>
      </c>
      <c r="F150" s="2">
        <v>112</v>
      </c>
      <c r="G150" s="2">
        <v>19.488931042327131</v>
      </c>
      <c r="H150" s="2">
        <v>-71.668471312284083</v>
      </c>
      <c r="I150" s="3" t="str">
        <f>HYPERLINK(CONCATENATE("https://faluhong.users.earthengine.app/view/hispaniola-lc-validation#id=LC149;lat=19.488931042327135;lon=-71.66847131228408;year=2017;bf=40;level=18;"), "landsat_time_series")</f>
        <v>landsat_time_series</v>
      </c>
      <c r="J150" s="3" t="str">
        <f>HYPERLINK(CONCATENATE("https://jstnbraaten.users.earthengine.app/view/landsat-timeseries-explorer#run=true;lon=-71.66847131228408;lat=19.488931042327135;from=01-01;to=12-31;index=NBR;rgb=NIR%2FRED%2FGREEN;chipwidth=1;"), "landsat_chips")</f>
        <v>landsat_chips</v>
      </c>
      <c r="K150" s="3" t="str">
        <f>HYPERLINK(CONCATENATE("https://livingatlas.arcgis.com/wayback/#ext=-71.66947131228409,19.489931042327136,-71.66747131228408,19.487931042327133"), "wayback")</f>
        <v>wayback</v>
      </c>
      <c r="L150" s="2" t="s">
        <v>21</v>
      </c>
      <c r="M150" s="5"/>
      <c r="N150" s="5" t="s">
        <v>21</v>
      </c>
    </row>
    <row r="151" spans="1:14" x14ac:dyDescent="0.35">
      <c r="A151" s="2">
        <v>150</v>
      </c>
      <c r="B151" s="2" t="s">
        <v>426</v>
      </c>
      <c r="C151" s="2" t="s">
        <v>167</v>
      </c>
      <c r="D151" s="2">
        <v>2016</v>
      </c>
      <c r="E151" s="2" t="s">
        <v>20</v>
      </c>
      <c r="F151" s="2">
        <v>10</v>
      </c>
      <c r="G151" s="2">
        <v>18.26432797576231</v>
      </c>
      <c r="H151" s="2">
        <v>-74.133942942254748</v>
      </c>
      <c r="I151" s="3" t="str">
        <f>HYPERLINK(CONCATENATE("https://faluhong.users.earthengine.app/view/hispaniola-lc-validation#id=LC150;lat=18.264327975762313;lon=-74.13394294225475;year=2016;bf=40;level=18;"), "landsat_time_series")</f>
        <v>landsat_time_series</v>
      </c>
      <c r="J151" s="3" t="str">
        <f>HYPERLINK(CONCATENATE("https://jstnbraaten.users.earthengine.app/view/landsat-timeseries-explorer#run=true;lon=-74.13394294225475;lat=18.264327975762313;from=01-01;to=12-31;index=NBR;rgb=NIR%2FRED%2FGREEN;chipwidth=1;"), "landsat_chips")</f>
        <v>landsat_chips</v>
      </c>
      <c r="K151" s="3" t="str">
        <f>HYPERLINK(CONCATENATE("https://livingatlas.arcgis.com/wayback/#ext=-74.13494294225475,18.265327975762315,-74.13294294225474,18.263327975762312"), "wayback")</f>
        <v>wayback</v>
      </c>
      <c r="L151" s="2" t="s">
        <v>11</v>
      </c>
      <c r="M151" s="5"/>
      <c r="N151" s="5" t="s">
        <v>11</v>
      </c>
    </row>
    <row r="152" spans="1:14" x14ac:dyDescent="0.35">
      <c r="A152" s="2">
        <v>151</v>
      </c>
      <c r="B152" s="2" t="s">
        <v>426</v>
      </c>
      <c r="C152" s="2" t="s">
        <v>168</v>
      </c>
      <c r="D152" s="2">
        <v>2013</v>
      </c>
      <c r="E152" s="2" t="s">
        <v>10</v>
      </c>
      <c r="F152" s="2">
        <v>57</v>
      </c>
      <c r="G152" s="2">
        <v>18.686518070731779</v>
      </c>
      <c r="H152" s="2">
        <v>-69.470807602990007</v>
      </c>
      <c r="I152" s="3" t="str">
        <f>HYPERLINK(CONCATENATE("https://faluhong.users.earthengine.app/view/hispaniola-lc-validation#id=LC151;lat=18.686518070731776;lon=-69.47080760299;year=2013;bf=40;level=18;"), "landsat_time_series")</f>
        <v>landsat_time_series</v>
      </c>
      <c r="J152" s="3" t="str">
        <f>HYPERLINK(CONCATENATE("https://jstnbraaten.users.earthengine.app/view/landsat-timeseries-explorer#run=true;lon=-69.47080760299;lat=18.686518070731776;from=01-01;to=12-31;index=NBR;rgb=NIR%2FRED%2FGREEN;chipwidth=1;"), "landsat_chips")</f>
        <v>landsat_chips</v>
      </c>
      <c r="K152" s="3" t="str">
        <f>HYPERLINK(CONCATENATE("https://livingatlas.arcgis.com/wayback/#ext=-69.47180760299001,18.687518070731777,-69.46980760299,18.685518070731774"), "wayback")</f>
        <v>wayback</v>
      </c>
      <c r="L152" s="2" t="s">
        <v>921</v>
      </c>
      <c r="M152" s="5"/>
      <c r="N152" s="5" t="s">
        <v>921</v>
      </c>
    </row>
    <row r="153" spans="1:14" x14ac:dyDescent="0.35">
      <c r="A153" s="2">
        <v>152</v>
      </c>
      <c r="B153" s="2" t="s">
        <v>426</v>
      </c>
      <c r="C153" s="2" t="s">
        <v>169</v>
      </c>
      <c r="D153" s="2">
        <v>1999</v>
      </c>
      <c r="E153" s="2" t="s">
        <v>20</v>
      </c>
      <c r="F153" s="2">
        <v>528</v>
      </c>
      <c r="G153" s="2">
        <v>19.775188741968371</v>
      </c>
      <c r="H153" s="2">
        <v>-73.106333462128731</v>
      </c>
      <c r="I153" s="3" t="str">
        <f>HYPERLINK(CONCATENATE("https://faluhong.users.earthengine.app/view/hispaniola-lc-validation#id=LC152;lat=19.77518874196837;lon=-73.10633346212873;year=1999;bf=40;level=18;"), "landsat_time_series")</f>
        <v>landsat_time_series</v>
      </c>
      <c r="J153" s="3" t="str">
        <f>HYPERLINK(CONCATENATE("https://jstnbraaten.users.earthengine.app/view/landsat-timeseries-explorer#run=true;lon=-73.10633346212873;lat=19.77518874196837;from=01-01;to=12-31;index=NBR;rgb=NIR%2FRED%2FGREEN;chipwidth=1;"), "landsat_chips")</f>
        <v>landsat_chips</v>
      </c>
      <c r="K153" s="3" t="str">
        <f>HYPERLINK(CONCATENATE("https://livingatlas.arcgis.com/wayback/#ext=-73.10733346212874,19.776188741968372,-73.10533346212873,19.77418874196837"), "wayback")</f>
        <v>wayback</v>
      </c>
      <c r="L153" s="2" t="s">
        <v>921</v>
      </c>
      <c r="M153" s="5"/>
      <c r="N153" s="5" t="s">
        <v>21</v>
      </c>
    </row>
    <row r="154" spans="1:14" x14ac:dyDescent="0.35">
      <c r="A154" s="2">
        <v>153</v>
      </c>
      <c r="B154" s="2" t="s">
        <v>426</v>
      </c>
      <c r="C154" s="2" t="s">
        <v>170</v>
      </c>
      <c r="D154" s="2">
        <v>1999</v>
      </c>
      <c r="E154" s="2" t="s">
        <v>10</v>
      </c>
      <c r="F154" s="2">
        <v>1269</v>
      </c>
      <c r="G154" s="2">
        <v>19.216697934120582</v>
      </c>
      <c r="H154" s="2">
        <v>-71.459168268727097</v>
      </c>
      <c r="I154" s="3" t="str">
        <f>HYPERLINK(CONCATENATE("https://faluhong.users.earthengine.app/view/hispaniola-lc-validation#id=LC153;lat=19.216697934120578;lon=-71.4591682687271;year=1999;bf=40;level=18;"), "landsat_time_series")</f>
        <v>landsat_time_series</v>
      </c>
      <c r="J154" s="3" t="str">
        <f>HYPERLINK(CONCATENATE("https://jstnbraaten.users.earthengine.app/view/landsat-timeseries-explorer#run=true;lon=-71.4591682687271;lat=19.216697934120578;from=01-01;to=12-31;index=NBR;rgb=NIR%2FRED%2FGREEN;chipwidth=1;"), "landsat_chips")</f>
        <v>landsat_chips</v>
      </c>
      <c r="K154" s="3" t="str">
        <f>HYPERLINK(CONCATENATE("https://livingatlas.arcgis.com/wayback/#ext=-71.4601682687271,19.21769793412058,-71.45816826872709,19.215697934120577"), "wayback")</f>
        <v>wayback</v>
      </c>
      <c r="L154" s="2" t="s">
        <v>38</v>
      </c>
      <c r="M154" s="5"/>
      <c r="N154" s="5" t="s">
        <v>38</v>
      </c>
    </row>
    <row r="155" spans="1:14" x14ac:dyDescent="0.35">
      <c r="A155" s="2">
        <v>154</v>
      </c>
      <c r="B155" s="2" t="s">
        <v>426</v>
      </c>
      <c r="C155" s="2" t="s">
        <v>171</v>
      </c>
      <c r="D155" s="2">
        <v>2014</v>
      </c>
      <c r="E155" s="2" t="s">
        <v>10</v>
      </c>
      <c r="F155" s="2">
        <v>735</v>
      </c>
      <c r="G155" s="2">
        <v>18.423220416888999</v>
      </c>
      <c r="H155" s="2">
        <v>-70.328006365417224</v>
      </c>
      <c r="I155" s="3" t="str">
        <f>HYPERLINK(CONCATENATE("https://faluhong.users.earthengine.app/view/hispaniola-lc-validation#id=LC154;lat=18.423220416889;lon=-70.32800636541722;year=2014;bf=40;level=18;"), "landsat_time_series")</f>
        <v>landsat_time_series</v>
      </c>
      <c r="J155" s="3" t="str">
        <f>HYPERLINK(CONCATENATE("https://jstnbraaten.users.earthengine.app/view/landsat-timeseries-explorer#run=true;lon=-70.32800636541722;lat=18.423220416889;from=01-01;to=12-31;index=NBR;rgb=NIR%2FRED%2FGREEN;chipwidth=1;"), "landsat_chips")</f>
        <v>landsat_chips</v>
      </c>
      <c r="K155" s="3" t="str">
        <f>HYPERLINK(CONCATENATE("https://livingatlas.arcgis.com/wayback/#ext=-70.32900636541723,18.424220416889,-70.32700636541722,18.422220416888997"), "wayback")</f>
        <v>wayback</v>
      </c>
      <c r="L155" s="2" t="s">
        <v>21</v>
      </c>
      <c r="M155" s="5"/>
      <c r="N155" s="5" t="s">
        <v>21</v>
      </c>
    </row>
    <row r="156" spans="1:14" x14ac:dyDescent="0.35">
      <c r="A156" s="2">
        <v>155</v>
      </c>
      <c r="B156" s="2" t="s">
        <v>426</v>
      </c>
      <c r="C156" s="2" t="s">
        <v>172</v>
      </c>
      <c r="D156" s="2">
        <v>1996</v>
      </c>
      <c r="E156" s="2" t="s">
        <v>10</v>
      </c>
      <c r="F156" s="2">
        <v>1351</v>
      </c>
      <c r="G156" s="2">
        <v>19.019393576457819</v>
      </c>
      <c r="H156" s="2">
        <v>-70.513236380524475</v>
      </c>
      <c r="I156" s="3" t="str">
        <f>HYPERLINK(CONCATENATE("https://faluhong.users.earthengine.app/view/hispaniola-lc-validation#id=LC155;lat=19.019393576457823;lon=-70.51323638052448;year=1996;bf=40;level=18;"), "landsat_time_series")</f>
        <v>landsat_time_series</v>
      </c>
      <c r="J156" s="3" t="str">
        <f>HYPERLINK(CONCATENATE("https://jstnbraaten.users.earthengine.app/view/landsat-timeseries-explorer#run=true;lon=-70.51323638052448;lat=19.019393576457823;from=01-01;to=12-31;index=NBR;rgb=NIR%2FRED%2FGREEN;chipwidth=1;"), "landsat_chips")</f>
        <v>landsat_chips</v>
      </c>
      <c r="K156" s="3" t="str">
        <f>HYPERLINK(CONCATENATE("https://livingatlas.arcgis.com/wayback/#ext=-70.51423638052448,19.020393576457824,-70.51223638052447,19.01839357645782"), "wayback")</f>
        <v>wayback</v>
      </c>
      <c r="L156" s="2" t="s">
        <v>38</v>
      </c>
      <c r="M156" s="5"/>
      <c r="N156" s="5" t="s">
        <v>38</v>
      </c>
    </row>
    <row r="157" spans="1:14" x14ac:dyDescent="0.35">
      <c r="A157" s="2">
        <v>156</v>
      </c>
      <c r="B157" s="2" t="s">
        <v>426</v>
      </c>
      <c r="C157" s="2" t="s">
        <v>173</v>
      </c>
      <c r="D157" s="2">
        <v>2013</v>
      </c>
      <c r="E157" s="2" t="s">
        <v>10</v>
      </c>
      <c r="F157" s="2">
        <v>7</v>
      </c>
      <c r="G157" s="2">
        <v>18.238677703546081</v>
      </c>
      <c r="H157" s="2">
        <v>-68.739920889022514</v>
      </c>
      <c r="I157" s="3" t="str">
        <f>HYPERLINK(CONCATENATE("https://faluhong.users.earthengine.app/view/hispaniola-lc-validation#id=LC156;lat=18.23867770354608;lon=-68.73992088902251;year=2013;bf=40;level=18;"), "landsat_time_series")</f>
        <v>landsat_time_series</v>
      </c>
      <c r="J157" s="3" t="str">
        <f>HYPERLINK(CONCATENATE("https://jstnbraaten.users.earthengine.app/view/landsat-timeseries-explorer#run=true;lon=-68.73992088902251;lat=18.23867770354608;from=01-01;to=12-31;index=NBR;rgb=NIR%2FRED%2FGREEN;chipwidth=1;"), "landsat_chips")</f>
        <v>landsat_chips</v>
      </c>
      <c r="K157" s="3" t="str">
        <f>HYPERLINK(CONCATENATE("https://livingatlas.arcgis.com/wayback/#ext=-68.74092088902252,18.239677703546082,-68.73892088902251,18.23767770354608"), "wayback")</f>
        <v>wayback</v>
      </c>
      <c r="L157" s="2" t="s">
        <v>18</v>
      </c>
      <c r="M157" s="5"/>
      <c r="N157" s="5" t="s">
        <v>18</v>
      </c>
    </row>
    <row r="158" spans="1:14" x14ac:dyDescent="0.35">
      <c r="A158" s="2">
        <v>157</v>
      </c>
      <c r="B158" s="2" t="s">
        <v>426</v>
      </c>
      <c r="C158" s="2" t="s">
        <v>174</v>
      </c>
      <c r="D158" s="2">
        <v>2013</v>
      </c>
      <c r="E158" s="2" t="s">
        <v>10</v>
      </c>
      <c r="F158" s="2">
        <v>5</v>
      </c>
      <c r="G158" s="2">
        <v>18.261200680905539</v>
      </c>
      <c r="H158" s="2">
        <v>-71.235250390842822</v>
      </c>
      <c r="I158" s="3" t="str">
        <f>HYPERLINK(CONCATENATE("https://faluhong.users.earthengine.app/view/hispaniola-lc-validation#id=LC157;lat=18.261200680905535;lon=-71.23525039084282;year=2013;bf=40;level=18;"), "landsat_time_series")</f>
        <v>landsat_time_series</v>
      </c>
      <c r="J158" s="3" t="str">
        <f>HYPERLINK(CONCATENATE("https://jstnbraaten.users.earthengine.app/view/landsat-timeseries-explorer#run=true;lon=-71.23525039084282;lat=18.261200680905535;from=01-01;to=12-31;index=NBR;rgb=NIR%2FRED%2FGREEN;chipwidth=1;"), "landsat_chips")</f>
        <v>landsat_chips</v>
      </c>
      <c r="K158" s="3" t="str">
        <f>HYPERLINK(CONCATENATE("https://livingatlas.arcgis.com/wayback/#ext=-71.23625039084283,18.262200680905536,-71.23425039084282,18.260200680905534"), "wayback")</f>
        <v>wayback</v>
      </c>
      <c r="L158" s="2" t="s">
        <v>15</v>
      </c>
      <c r="M158" s="5"/>
      <c r="N158" s="5" t="s">
        <v>24</v>
      </c>
    </row>
    <row r="159" spans="1:14" x14ac:dyDescent="0.35">
      <c r="A159" s="2">
        <v>158</v>
      </c>
      <c r="B159" s="2" t="s">
        <v>426</v>
      </c>
      <c r="C159" s="2" t="s">
        <v>175</v>
      </c>
      <c r="D159" s="2">
        <v>2005</v>
      </c>
      <c r="E159" s="2" t="s">
        <v>10</v>
      </c>
      <c r="F159" s="2">
        <v>726</v>
      </c>
      <c r="G159" s="2">
        <v>19.315723504723859</v>
      </c>
      <c r="H159" s="2">
        <v>-71.296014104346241</v>
      </c>
      <c r="I159" s="3" t="str">
        <f>HYPERLINK(CONCATENATE("https://faluhong.users.earthengine.app/view/hispaniola-lc-validation#id=LC158;lat=19.315723504723856;lon=-71.29601410434624;year=2005;bf=40;level=18;"), "landsat_time_series")</f>
        <v>landsat_time_series</v>
      </c>
      <c r="J159" s="3" t="str">
        <f>HYPERLINK(CONCATENATE("https://jstnbraaten.users.earthengine.app/view/landsat-timeseries-explorer#run=true;lon=-71.29601410434624;lat=19.315723504723856;from=01-01;to=12-31;index=NBR;rgb=NIR%2FRED%2FGREEN;chipwidth=1;"), "landsat_chips")</f>
        <v>landsat_chips</v>
      </c>
      <c r="K159" s="3" t="str">
        <f>HYPERLINK(CONCATENATE("https://livingatlas.arcgis.com/wayback/#ext=-71.29701410434625,19.316723504723857,-71.29501410434624,19.314723504723855"), "wayback")</f>
        <v>wayback</v>
      </c>
      <c r="L159" s="2" t="s">
        <v>38</v>
      </c>
      <c r="M159" s="5"/>
      <c r="N159" s="5" t="s">
        <v>38</v>
      </c>
    </row>
    <row r="160" spans="1:14" x14ac:dyDescent="0.35">
      <c r="A160" s="2">
        <v>159</v>
      </c>
      <c r="B160" s="2" t="s">
        <v>426</v>
      </c>
      <c r="C160" s="2" t="s">
        <v>176</v>
      </c>
      <c r="D160" s="2">
        <v>2003</v>
      </c>
      <c r="E160" s="2" t="s">
        <v>10</v>
      </c>
      <c r="F160" s="2">
        <v>48</v>
      </c>
      <c r="G160" s="2">
        <v>17.682143730437911</v>
      </c>
      <c r="H160" s="2">
        <v>-71.383640086009621</v>
      </c>
      <c r="I160" s="3" t="str">
        <f>HYPERLINK(CONCATENATE("https://faluhong.users.earthengine.app/view/hispaniola-lc-validation#id=LC159;lat=17.68214373043791;lon=-71.38364008600962;year=2003;bf=40;level=18;"), "landsat_time_series")</f>
        <v>landsat_time_series</v>
      </c>
      <c r="J160" s="3" t="str">
        <f>HYPERLINK(CONCATENATE("https://jstnbraaten.users.earthengine.app/view/landsat-timeseries-explorer#run=true;lon=-71.38364008600962;lat=17.68214373043791;from=01-01;to=12-31;index=NBR;rgb=NIR%2FRED%2FGREEN;chipwidth=1;"), "landsat_chips")</f>
        <v>landsat_chips</v>
      </c>
      <c r="K160" s="3" t="str">
        <f>HYPERLINK(CONCATENATE("https://livingatlas.arcgis.com/wayback/#ext=-71.38464008600963,17.683143730437912,-71.38264008600962,17.68114373043791"), "wayback")</f>
        <v>wayback</v>
      </c>
      <c r="L160" s="2" t="s">
        <v>18</v>
      </c>
      <c r="M160" s="5"/>
      <c r="N160" s="5" t="s">
        <v>18</v>
      </c>
    </row>
    <row r="161" spans="1:14" x14ac:dyDescent="0.35">
      <c r="A161" s="2">
        <v>160</v>
      </c>
      <c r="B161" s="2" t="s">
        <v>426</v>
      </c>
      <c r="C161" s="2" t="s">
        <v>177</v>
      </c>
      <c r="D161" s="2">
        <v>1998</v>
      </c>
      <c r="E161" s="2" t="s">
        <v>20</v>
      </c>
      <c r="F161" s="2">
        <v>641</v>
      </c>
      <c r="G161" s="2">
        <v>18.27381077358547</v>
      </c>
      <c r="H161" s="2">
        <v>-71.932096689679867</v>
      </c>
      <c r="I161" s="3" t="str">
        <f>HYPERLINK(CONCATENATE("https://faluhong.users.earthengine.app/view/hispaniola-lc-validation#id=LC160;lat=18.27381077358547;lon=-71.93209668967987;year=1998;bf=40;level=18;"), "landsat_time_series")</f>
        <v>landsat_time_series</v>
      </c>
      <c r="J161" s="3" t="str">
        <f>HYPERLINK(CONCATENATE("https://jstnbraaten.users.earthengine.app/view/landsat-timeseries-explorer#run=true;lon=-71.93209668967987;lat=18.27381077358547;from=01-01;to=12-31;index=NBR;rgb=NIR%2FRED%2FGREEN;chipwidth=1;"), "landsat_chips")</f>
        <v>landsat_chips</v>
      </c>
      <c r="K161" s="3" t="str">
        <f>HYPERLINK(CONCATENATE("https://livingatlas.arcgis.com/wayback/#ext=-71.93309668967987,18.27481077358547,-71.93109668967986,18.27281077358547"), "wayback")</f>
        <v>wayback</v>
      </c>
      <c r="L161" s="2" t="s">
        <v>21</v>
      </c>
      <c r="M161" s="5" t="b">
        <v>1</v>
      </c>
      <c r="N161" s="5"/>
    </row>
    <row r="162" spans="1:14" x14ac:dyDescent="0.35">
      <c r="A162" s="2">
        <v>161</v>
      </c>
      <c r="B162" s="2" t="s">
        <v>426</v>
      </c>
      <c r="C162" s="2" t="s">
        <v>178</v>
      </c>
      <c r="D162" s="2">
        <v>2007</v>
      </c>
      <c r="E162" s="2" t="s">
        <v>20</v>
      </c>
      <c r="F162" s="2">
        <v>8</v>
      </c>
      <c r="G162" s="2">
        <v>18.0751351070809</v>
      </c>
      <c r="H162" s="2">
        <v>-73.63982636319497</v>
      </c>
      <c r="I162" s="3" t="str">
        <f>HYPERLINK(CONCATENATE("https://faluhong.users.earthengine.app/view/hispaniola-lc-validation#id=LC161;lat=18.075135107080904;lon=-73.63982636319497;year=2007;bf=40;level=18;"), "landsat_time_series")</f>
        <v>landsat_time_series</v>
      </c>
      <c r="J162" s="3" t="str">
        <f>HYPERLINK(CONCATENATE("https://jstnbraaten.users.earthengine.app/view/landsat-timeseries-explorer#run=true;lon=-73.63982636319497;lat=18.075135107080904;from=01-01;to=12-31;index=NBR;rgb=NIR%2FRED%2FGREEN;chipwidth=1;"), "landsat_chips")</f>
        <v>landsat_chips</v>
      </c>
      <c r="K162" s="3" t="str">
        <f>HYPERLINK(CONCATENATE("https://livingatlas.arcgis.com/wayback/#ext=-73.64082636319498,18.076135107080905,-73.63882636319497,18.074135107080902"), "wayback")</f>
        <v>wayback</v>
      </c>
      <c r="L162" s="2" t="s">
        <v>921</v>
      </c>
      <c r="M162" s="5"/>
      <c r="N162" s="5" t="s">
        <v>921</v>
      </c>
    </row>
    <row r="163" spans="1:14" x14ac:dyDescent="0.35">
      <c r="A163" s="2">
        <v>162</v>
      </c>
      <c r="B163" s="2" t="s">
        <v>426</v>
      </c>
      <c r="C163" s="2" t="s">
        <v>179</v>
      </c>
      <c r="D163" s="2">
        <v>2006</v>
      </c>
      <c r="E163" s="2" t="s">
        <v>10</v>
      </c>
      <c r="F163" s="2">
        <v>400</v>
      </c>
      <c r="G163" s="2">
        <v>18.904692858409501</v>
      </c>
      <c r="H163" s="2">
        <v>-71.590518313319592</v>
      </c>
      <c r="I163" s="3" t="str">
        <f>HYPERLINK(CONCATENATE("https://faluhong.users.earthengine.app/view/hispaniola-lc-validation#id=LC162;lat=18.904692858409497;lon=-71.59051831331959;year=2006;bf=40;level=18;"), "landsat_time_series")</f>
        <v>landsat_time_series</v>
      </c>
      <c r="J163" s="3" t="str">
        <f>HYPERLINK(CONCATENATE("https://jstnbraaten.users.earthengine.app/view/landsat-timeseries-explorer#run=true;lon=-71.59051831331959;lat=18.904692858409497;from=01-01;to=12-31;index=NBR;rgb=NIR%2FRED%2FGREEN;chipwidth=1;"), "landsat_chips")</f>
        <v>landsat_chips</v>
      </c>
      <c r="K163" s="3" t="str">
        <f>HYPERLINK(CONCATENATE("https://livingatlas.arcgis.com/wayback/#ext=-71.5915183133196,18.9056928584095,-71.58951831331959,18.903692858409496"), "wayback")</f>
        <v>wayback</v>
      </c>
      <c r="L163" s="2" t="s">
        <v>21</v>
      </c>
      <c r="M163" s="5"/>
      <c r="N163" s="5" t="s">
        <v>21</v>
      </c>
    </row>
    <row r="164" spans="1:14" x14ac:dyDescent="0.35">
      <c r="A164" s="2">
        <v>163</v>
      </c>
      <c r="B164" s="2" t="s">
        <v>426</v>
      </c>
      <c r="C164" s="2" t="s">
        <v>180</v>
      </c>
      <c r="D164" s="2">
        <v>2005</v>
      </c>
      <c r="E164" s="2" t="s">
        <v>10</v>
      </c>
      <c r="F164" s="2">
        <v>187</v>
      </c>
      <c r="G164" s="2">
        <v>18.48608971176137</v>
      </c>
      <c r="H164" s="2">
        <v>-71.828871061806282</v>
      </c>
      <c r="I164" s="3" t="str">
        <f>HYPERLINK(CONCATENATE("https://faluhong.users.earthengine.app/view/hispaniola-lc-validation#id=LC163;lat=18.48608971176137;lon=-71.82887106180628;year=2005;bf=40;level=18;"), "landsat_time_series")</f>
        <v>landsat_time_series</v>
      </c>
      <c r="J164" s="3" t="str">
        <f>HYPERLINK(CONCATENATE("https://jstnbraaten.users.earthengine.app/view/landsat-timeseries-explorer#run=true;lon=-71.82887106180628;lat=18.48608971176137;from=01-01;to=12-31;index=NBR;rgb=NIR%2FRED%2FGREEN;chipwidth=1;"), "landsat_chips")</f>
        <v>landsat_chips</v>
      </c>
      <c r="K164" s="3" t="str">
        <f>HYPERLINK(CONCATENATE("https://livingatlas.arcgis.com/wayback/#ext=-71.82987106180629,18.48708971176137,-71.82787106180628,18.48508971176137"), "wayback")</f>
        <v>wayback</v>
      </c>
      <c r="L164" s="2" t="s">
        <v>921</v>
      </c>
      <c r="M164" s="5"/>
      <c r="N164" s="5" t="s">
        <v>13</v>
      </c>
    </row>
    <row r="165" spans="1:14" x14ac:dyDescent="0.35">
      <c r="A165" s="2">
        <v>164</v>
      </c>
      <c r="B165" s="2" t="s">
        <v>426</v>
      </c>
      <c r="C165" s="2" t="s">
        <v>181</v>
      </c>
      <c r="D165" s="2">
        <v>2009</v>
      </c>
      <c r="E165" s="2" t="s">
        <v>10</v>
      </c>
      <c r="F165" s="2">
        <v>10</v>
      </c>
      <c r="G165" s="2">
        <v>18.129957900102369</v>
      </c>
      <c r="H165" s="2">
        <v>-68.59833839651121</v>
      </c>
      <c r="I165" s="3" t="str">
        <f>HYPERLINK(CONCATENATE("https://faluhong.users.earthengine.app/view/hispaniola-lc-validation#id=LC164;lat=18.12995790010237;lon=-68.59833839651121;year=2009;bf=40;level=18;"), "landsat_time_series")</f>
        <v>landsat_time_series</v>
      </c>
      <c r="J165" s="3" t="str">
        <f>HYPERLINK(CONCATENATE("https://jstnbraaten.users.earthengine.app/view/landsat-timeseries-explorer#run=true;lon=-68.59833839651121;lat=18.12995790010237;from=01-01;to=12-31;index=NBR;rgb=NIR%2FRED%2FGREEN;chipwidth=1;"), "landsat_chips")</f>
        <v>landsat_chips</v>
      </c>
      <c r="K165" s="3" t="str">
        <f>HYPERLINK(CONCATENATE("https://livingatlas.arcgis.com/wayback/#ext=-68.59933839651121,18.13095790010237,-68.5973383965112,18.128957900102368"), "wayback")</f>
        <v>wayback</v>
      </c>
      <c r="L165" s="2" t="s">
        <v>18</v>
      </c>
      <c r="M165" s="5"/>
      <c r="N165" s="5" t="s">
        <v>18</v>
      </c>
    </row>
    <row r="166" spans="1:14" x14ac:dyDescent="0.35">
      <c r="A166" s="2">
        <v>165</v>
      </c>
      <c r="B166" s="2" t="s">
        <v>426</v>
      </c>
      <c r="C166" s="2" t="s">
        <v>182</v>
      </c>
      <c r="D166" s="2">
        <v>2022</v>
      </c>
      <c r="E166" s="2" t="s">
        <v>20</v>
      </c>
      <c r="F166" s="2">
        <v>3</v>
      </c>
      <c r="G166" s="2">
        <v>19.381166848986759</v>
      </c>
      <c r="H166" s="2">
        <v>-72.710078258676049</v>
      </c>
      <c r="I166" s="3" t="str">
        <f>HYPERLINK(CONCATENATE("https://faluhong.users.earthengine.app/view/hispaniola-lc-validation#id=LC165;lat=19.381166848986762;lon=-72.71007825867605;year=2022;bf=40;level=18;"), "landsat_time_series")</f>
        <v>landsat_time_series</v>
      </c>
      <c r="J166" s="3" t="str">
        <f>HYPERLINK(CONCATENATE("https://jstnbraaten.users.earthengine.app/view/landsat-timeseries-explorer#run=true;lon=-72.71007825867605;lat=19.381166848986762;from=01-01;to=12-31;index=NBR;rgb=NIR%2FRED%2FGREEN;chipwidth=1;"), "landsat_chips")</f>
        <v>landsat_chips</v>
      </c>
      <c r="K166" s="3" t="str">
        <f>HYPERLINK(CONCATENATE("https://livingatlas.arcgis.com/wayback/#ext=-72.71107825867605,19.382166848986763,-72.70907825867604,19.38016684898676"), "wayback")</f>
        <v>wayback</v>
      </c>
      <c r="L166" s="2" t="s">
        <v>24</v>
      </c>
      <c r="M166" s="5"/>
      <c r="N166" s="5" t="s">
        <v>24</v>
      </c>
    </row>
    <row r="167" spans="1:14" x14ac:dyDescent="0.35">
      <c r="A167" s="2">
        <v>166</v>
      </c>
      <c r="B167" s="2" t="s">
        <v>426</v>
      </c>
      <c r="C167" s="2" t="s">
        <v>183</v>
      </c>
      <c r="D167" s="2">
        <v>2012</v>
      </c>
      <c r="E167" s="2" t="s">
        <v>10</v>
      </c>
      <c r="F167" s="2">
        <v>85</v>
      </c>
      <c r="G167" s="2">
        <v>18.952630444000238</v>
      </c>
      <c r="H167" s="2">
        <v>-70.258711380851977</v>
      </c>
      <c r="I167" s="3" t="str">
        <f>HYPERLINK(CONCATENATE("https://faluhong.users.earthengine.app/view/hispaniola-lc-validation#id=LC166;lat=18.952630444000242;lon=-70.25871138085198;year=2012;bf=40;level=18;"), "landsat_time_series")</f>
        <v>landsat_time_series</v>
      </c>
      <c r="J167" s="3" t="str">
        <f>HYPERLINK(CONCATENATE("https://jstnbraaten.users.earthengine.app/view/landsat-timeseries-explorer#run=true;lon=-70.25871138085198;lat=18.952630444000242;from=01-01;to=12-31;index=NBR;rgb=NIR%2FRED%2FGREEN;chipwidth=1;"), "landsat_chips")</f>
        <v>landsat_chips</v>
      </c>
      <c r="K167" s="3" t="str">
        <f>HYPERLINK(CONCATENATE("https://livingatlas.arcgis.com/wayback/#ext=-70.25971138085198,18.953630444000243,-70.25771138085197,18.95163044400024"), "wayback")</f>
        <v>wayback</v>
      </c>
      <c r="L167" s="2" t="s">
        <v>15</v>
      </c>
      <c r="M167" s="5"/>
      <c r="N167" s="5" t="s">
        <v>15</v>
      </c>
    </row>
    <row r="168" spans="1:14" x14ac:dyDescent="0.35">
      <c r="A168" s="2">
        <v>167</v>
      </c>
      <c r="B168" s="2" t="s">
        <v>426</v>
      </c>
      <c r="C168" s="2" t="s">
        <v>184</v>
      </c>
      <c r="D168" s="2">
        <v>2004</v>
      </c>
      <c r="E168" s="2" t="s">
        <v>10</v>
      </c>
      <c r="F168" s="2">
        <v>2371</v>
      </c>
      <c r="G168" s="2">
        <v>19.120757991651271</v>
      </c>
      <c r="H168" s="2">
        <v>-71.159066072849512</v>
      </c>
      <c r="I168" s="3" t="str">
        <f>HYPERLINK(CONCATENATE("https://faluhong.users.earthengine.app/view/hispaniola-lc-validation#id=LC167;lat=19.120757991651274;lon=-71.15906607284951;year=2004;bf=40;level=18;"), "landsat_time_series")</f>
        <v>landsat_time_series</v>
      </c>
      <c r="J168" s="3" t="str">
        <f>HYPERLINK(CONCATENATE("https://jstnbraaten.users.earthengine.app/view/landsat-timeseries-explorer#run=true;lon=-71.15906607284951;lat=19.120757991651274;from=01-01;to=12-31;index=NBR;rgb=NIR%2FRED%2FGREEN;chipwidth=1;"), "landsat_chips")</f>
        <v>landsat_chips</v>
      </c>
      <c r="K168" s="3" t="str">
        <f>HYPERLINK(CONCATENATE("https://livingatlas.arcgis.com/wayback/#ext=-71.16006607284952,19.121757991651275,-71.15806607284951,19.119757991651273"), "wayback")</f>
        <v>wayback</v>
      </c>
      <c r="L168" s="2" t="s">
        <v>38</v>
      </c>
      <c r="M168" s="5"/>
      <c r="N168" s="5" t="s">
        <v>38</v>
      </c>
    </row>
    <row r="169" spans="1:14" x14ac:dyDescent="0.35">
      <c r="A169" s="2">
        <v>168</v>
      </c>
      <c r="B169" s="2" t="s">
        <v>426</v>
      </c>
      <c r="C169" s="2" t="s">
        <v>185</v>
      </c>
      <c r="D169" s="2">
        <v>2021</v>
      </c>
      <c r="E169" s="2" t="s">
        <v>20</v>
      </c>
      <c r="F169" s="2">
        <v>50</v>
      </c>
      <c r="G169" s="2">
        <v>18.561842762858561</v>
      </c>
      <c r="H169" s="2">
        <v>-73.837510423136422</v>
      </c>
      <c r="I169" s="3" t="str">
        <f>HYPERLINK(CONCATENATE("https://faluhong.users.earthengine.app/view/hispaniola-lc-validation#id=LC168;lat=18.56184276285856;lon=-73.83751042313642;year=2021;bf=40;level=18;"), "landsat_time_series")</f>
        <v>landsat_time_series</v>
      </c>
      <c r="J169" s="3" t="str">
        <f>HYPERLINK(CONCATENATE("https://jstnbraaten.users.earthengine.app/view/landsat-timeseries-explorer#run=true;lon=-73.83751042313642;lat=18.56184276285856;from=01-01;to=12-31;index=NBR;rgb=NIR%2FRED%2FGREEN;chipwidth=1;"), "landsat_chips")</f>
        <v>landsat_chips</v>
      </c>
      <c r="K169" s="3" t="str">
        <f>HYPERLINK(CONCATENATE("https://livingatlas.arcgis.com/wayback/#ext=-73.83851042313643,18.562842762858562,-73.83651042313642,18.56084276285856"), "wayback")</f>
        <v>wayback</v>
      </c>
      <c r="L169" s="2" t="s">
        <v>21</v>
      </c>
      <c r="M169" s="5"/>
      <c r="N169" s="5" t="s">
        <v>921</v>
      </c>
    </row>
    <row r="170" spans="1:14" x14ac:dyDescent="0.35">
      <c r="A170" s="2">
        <v>169</v>
      </c>
      <c r="B170" s="2" t="s">
        <v>426</v>
      </c>
      <c r="C170" s="2" t="s">
        <v>186</v>
      </c>
      <c r="D170" s="2">
        <v>2001</v>
      </c>
      <c r="E170" s="2" t="s">
        <v>20</v>
      </c>
      <c r="F170" s="2">
        <v>38</v>
      </c>
      <c r="G170" s="2">
        <v>19.70805225795117</v>
      </c>
      <c r="H170" s="2">
        <v>-72.390951294098983</v>
      </c>
      <c r="I170" s="3" t="str">
        <f>HYPERLINK(CONCATENATE("https://faluhong.users.earthengine.app/view/hispaniola-lc-validation#id=LC169;lat=19.708052257951167;lon=-72.39095129409898;year=2001;bf=40;level=18;"), "landsat_time_series")</f>
        <v>landsat_time_series</v>
      </c>
      <c r="J170" s="3" t="str">
        <f>HYPERLINK(CONCATENATE("https://jstnbraaten.users.earthengine.app/view/landsat-timeseries-explorer#run=true;lon=-72.39095129409898;lat=19.708052257951167;from=01-01;to=12-31;index=NBR;rgb=NIR%2FRED%2FGREEN;chipwidth=1;"), "landsat_chips")</f>
        <v>landsat_chips</v>
      </c>
      <c r="K170" s="3" t="str">
        <f>HYPERLINK(CONCATENATE("https://livingatlas.arcgis.com/wayback/#ext=-72.39195129409899,19.709052257951168,-72.38995129409898,19.707052257951165"), "wayback")</f>
        <v>wayback</v>
      </c>
      <c r="L170" s="2" t="s">
        <v>21</v>
      </c>
      <c r="M170" s="5"/>
      <c r="N170" s="5" t="s">
        <v>21</v>
      </c>
    </row>
    <row r="171" spans="1:14" x14ac:dyDescent="0.35">
      <c r="A171" s="2">
        <v>170</v>
      </c>
      <c r="B171" s="2" t="s">
        <v>426</v>
      </c>
      <c r="C171" s="2" t="s">
        <v>187</v>
      </c>
      <c r="D171" s="2">
        <v>2020</v>
      </c>
      <c r="E171" s="2" t="s">
        <v>20</v>
      </c>
      <c r="F171" s="2">
        <v>312</v>
      </c>
      <c r="G171" s="2">
        <v>19.536975749576069</v>
      </c>
      <c r="H171" s="2">
        <v>-72.714359343253776</v>
      </c>
      <c r="I171" s="3" t="str">
        <f>HYPERLINK(CONCATENATE("https://faluhong.users.earthengine.app/view/hispaniola-lc-validation#id=LC170;lat=19.536975749576072;lon=-72.71435934325378;year=2020;bf=40;level=18;"), "landsat_time_series")</f>
        <v>landsat_time_series</v>
      </c>
      <c r="J171" s="3" t="str">
        <f>HYPERLINK(CONCATENATE("https://jstnbraaten.users.earthengine.app/view/landsat-timeseries-explorer#run=true;lon=-72.71435934325378;lat=19.536975749576072;from=01-01;to=12-31;index=NBR;rgb=NIR%2FRED%2FGREEN;chipwidth=1;"), "landsat_chips")</f>
        <v>landsat_chips</v>
      </c>
      <c r="K171" s="3" t="str">
        <f>HYPERLINK(CONCATENATE("https://livingatlas.arcgis.com/wayback/#ext=-72.71535934325378,19.537975749576074,-72.71335934325377,19.53597574957607"), "wayback")</f>
        <v>wayback</v>
      </c>
      <c r="L171" s="2" t="s">
        <v>921</v>
      </c>
      <c r="M171" s="5"/>
      <c r="N171" s="5" t="s">
        <v>13</v>
      </c>
    </row>
    <row r="172" spans="1:14" x14ac:dyDescent="0.35">
      <c r="A172" s="2">
        <v>171</v>
      </c>
      <c r="B172" s="2" t="s">
        <v>426</v>
      </c>
      <c r="C172" s="2" t="s">
        <v>188</v>
      </c>
      <c r="D172" s="2">
        <v>2000</v>
      </c>
      <c r="E172" s="2" t="s">
        <v>10</v>
      </c>
      <c r="F172" s="2">
        <v>60</v>
      </c>
      <c r="G172" s="2">
        <v>18.49634588552486</v>
      </c>
      <c r="H172" s="2">
        <v>-69.989122785666794</v>
      </c>
      <c r="I172" s="3" t="str">
        <f>HYPERLINK(CONCATENATE("https://faluhong.users.earthengine.app/view/hispaniola-lc-validation#id=LC171;lat=18.496345885524864;lon=-69.9891227856668;year=2000;bf=40;level=18;"), "landsat_time_series")</f>
        <v>landsat_time_series</v>
      </c>
      <c r="J172" s="3" t="str">
        <f>HYPERLINK(CONCATENATE("https://jstnbraaten.users.earthengine.app/view/landsat-timeseries-explorer#run=true;lon=-69.9891227856668;lat=18.496345885524864;from=01-01;to=12-31;index=NBR;rgb=NIR%2FRED%2FGREEN;chipwidth=1;"), "landsat_chips")</f>
        <v>landsat_chips</v>
      </c>
      <c r="K172" s="3" t="str">
        <f>HYPERLINK(CONCATENATE("https://livingatlas.arcgis.com/wayback/#ext=-69.9901227856668,18.497345885524865,-69.98812278566679,18.495345885524863"), "wayback")</f>
        <v>wayback</v>
      </c>
      <c r="L172" s="2" t="s">
        <v>11</v>
      </c>
      <c r="M172" s="5"/>
      <c r="N172" s="5" t="s">
        <v>11</v>
      </c>
    </row>
    <row r="173" spans="1:14" x14ac:dyDescent="0.35">
      <c r="A173" s="2">
        <v>172</v>
      </c>
      <c r="B173" s="2" t="s">
        <v>426</v>
      </c>
      <c r="C173" s="2" t="s">
        <v>189</v>
      </c>
      <c r="D173" s="2">
        <v>2000</v>
      </c>
      <c r="E173" s="2" t="s">
        <v>10</v>
      </c>
      <c r="F173" s="2">
        <v>667</v>
      </c>
      <c r="G173" s="2">
        <v>18.39794943429299</v>
      </c>
      <c r="H173" s="2">
        <v>-71.013787480618532</v>
      </c>
      <c r="I173" s="3" t="str">
        <f>HYPERLINK(CONCATENATE("https://faluhong.users.earthengine.app/view/hispaniola-lc-validation#id=LC172;lat=18.397949434292993;lon=-71.01378748061853;year=2000;bf=40;level=18;"), "landsat_time_series")</f>
        <v>landsat_time_series</v>
      </c>
      <c r="J173" s="3" t="str">
        <f>HYPERLINK(CONCATENATE("https://jstnbraaten.users.earthengine.app/view/landsat-timeseries-explorer#run=true;lon=-71.01378748061853;lat=18.397949434292993;from=01-01;to=12-31;index=NBR;rgb=NIR%2FRED%2FGREEN;chipwidth=1;"), "landsat_chips")</f>
        <v>landsat_chips</v>
      </c>
      <c r="K173" s="3" t="str">
        <f>HYPERLINK(CONCATENATE("https://livingatlas.arcgis.com/wayback/#ext=-71.01478748061854,18.398949434292994,-71.01278748061853,18.396949434292992"), "wayback")</f>
        <v>wayback</v>
      </c>
      <c r="L173" s="2" t="s">
        <v>21</v>
      </c>
      <c r="M173" s="5"/>
      <c r="N173" s="5" t="s">
        <v>21</v>
      </c>
    </row>
    <row r="174" spans="1:14" x14ac:dyDescent="0.35">
      <c r="A174" s="2">
        <v>173</v>
      </c>
      <c r="B174" s="2" t="s">
        <v>426</v>
      </c>
      <c r="C174" s="2" t="s">
        <v>190</v>
      </c>
      <c r="D174" s="2">
        <v>2014</v>
      </c>
      <c r="E174" s="2" t="s">
        <v>20</v>
      </c>
      <c r="F174" s="2">
        <v>579</v>
      </c>
      <c r="G174" s="2">
        <v>19.45230293129913</v>
      </c>
      <c r="H174" s="2">
        <v>-71.882790441831489</v>
      </c>
      <c r="I174" s="3" t="str">
        <f>HYPERLINK(CONCATENATE("https://faluhong.users.earthengine.app/view/hispaniola-lc-validation#id=LC173;lat=19.45230293129913;lon=-71.88279044183149;year=2014;bf=40;level=18;"), "landsat_time_series")</f>
        <v>landsat_time_series</v>
      </c>
      <c r="J174" s="3" t="str">
        <f>HYPERLINK(CONCATENATE("https://jstnbraaten.users.earthengine.app/view/landsat-timeseries-explorer#run=true;lon=-71.88279044183149;lat=19.45230293129913;from=01-01;to=12-31;index=NBR;rgb=NIR%2FRED%2FGREEN;chipwidth=1;"), "landsat_chips")</f>
        <v>landsat_chips</v>
      </c>
      <c r="K174" s="3" t="str">
        <f>HYPERLINK(CONCATENATE("https://livingatlas.arcgis.com/wayback/#ext=-71.8837904418315,19.45330293129913,-71.88179044183148,19.45130293129913"), "wayback")</f>
        <v>wayback</v>
      </c>
      <c r="L174" s="2" t="s">
        <v>21</v>
      </c>
      <c r="M174" s="5" t="b">
        <v>1</v>
      </c>
      <c r="N174" s="5"/>
    </row>
    <row r="175" spans="1:14" x14ac:dyDescent="0.35">
      <c r="A175" s="2">
        <v>174</v>
      </c>
      <c r="B175" s="2" t="s">
        <v>426</v>
      </c>
      <c r="C175" s="2" t="s">
        <v>191</v>
      </c>
      <c r="D175" s="2">
        <v>2011</v>
      </c>
      <c r="E175" s="2" t="s">
        <v>10</v>
      </c>
      <c r="F175" s="2">
        <v>11</v>
      </c>
      <c r="G175" s="2">
        <v>18.524940735508441</v>
      </c>
      <c r="H175" s="2">
        <v>-69.74997594424859</v>
      </c>
      <c r="I175" s="3" t="str">
        <f>HYPERLINK(CONCATENATE("https://faluhong.users.earthengine.app/view/hispaniola-lc-validation#id=LC174;lat=18.524940735508437;lon=-69.74997594424859;year=2011;bf=40;level=18;"), "landsat_time_series")</f>
        <v>landsat_time_series</v>
      </c>
      <c r="J175" s="3" t="str">
        <f>HYPERLINK(CONCATENATE("https://jstnbraaten.users.earthengine.app/view/landsat-timeseries-explorer#run=true;lon=-69.74997594424859;lat=18.524940735508437;from=01-01;to=12-31;index=NBR;rgb=NIR%2FRED%2FGREEN;chipwidth=1;"), "landsat_chips")</f>
        <v>landsat_chips</v>
      </c>
      <c r="K175" s="3" t="str">
        <f>HYPERLINK(CONCATENATE("https://livingatlas.arcgis.com/wayback/#ext=-69.7509759442486,18.52594073550844,-69.74897594424858,18.523940735508436"), "wayback")</f>
        <v>wayback</v>
      </c>
      <c r="L175" s="2" t="s">
        <v>921</v>
      </c>
      <c r="M175" s="5"/>
      <c r="N175" s="5" t="s">
        <v>921</v>
      </c>
    </row>
    <row r="176" spans="1:14" x14ac:dyDescent="0.35">
      <c r="A176" s="2">
        <v>175</v>
      </c>
      <c r="B176" s="2" t="s">
        <v>426</v>
      </c>
      <c r="C176" s="2" t="s">
        <v>192</v>
      </c>
      <c r="D176" s="2">
        <v>2002</v>
      </c>
      <c r="E176" s="2" t="s">
        <v>20</v>
      </c>
      <c r="F176" s="2">
        <v>92</v>
      </c>
      <c r="G176" s="2">
        <v>19.601533509366309</v>
      </c>
      <c r="H176" s="2">
        <v>-71.888275221402608</v>
      </c>
      <c r="I176" s="3" t="str">
        <f>HYPERLINK(CONCATENATE("https://faluhong.users.earthengine.app/view/hispaniola-lc-validation#id=LC175;lat=19.601533509366313;lon=-71.88827522140261;year=2002;bf=40;level=18;"), "landsat_time_series")</f>
        <v>landsat_time_series</v>
      </c>
      <c r="J176" s="3" t="str">
        <f>HYPERLINK(CONCATENATE("https://jstnbraaten.users.earthengine.app/view/landsat-timeseries-explorer#run=true;lon=-71.88827522140261;lat=19.601533509366313;from=01-01;to=12-31;index=NBR;rgb=NIR%2FRED%2FGREEN;chipwidth=1;"), "landsat_chips")</f>
        <v>landsat_chips</v>
      </c>
      <c r="K176" s="3" t="str">
        <f>HYPERLINK(CONCATENATE("https://livingatlas.arcgis.com/wayback/#ext=-71.88927522140261,19.602533509366314,-71.8872752214026,19.60053350936631"), "wayback")</f>
        <v>wayback</v>
      </c>
      <c r="L176" s="2" t="s">
        <v>21</v>
      </c>
      <c r="M176" s="5"/>
      <c r="N176" s="5" t="s">
        <v>921</v>
      </c>
    </row>
    <row r="177" spans="1:14" x14ac:dyDescent="0.35">
      <c r="A177" s="2">
        <v>176</v>
      </c>
      <c r="B177" s="2" t="s">
        <v>426</v>
      </c>
      <c r="C177" s="2" t="s">
        <v>193</v>
      </c>
      <c r="D177" s="2">
        <v>2011</v>
      </c>
      <c r="E177" s="2" t="s">
        <v>10</v>
      </c>
      <c r="F177" s="2">
        <v>112</v>
      </c>
      <c r="G177" s="2">
        <v>19.552393402306059</v>
      </c>
      <c r="H177" s="2">
        <v>-71.373273138154005</v>
      </c>
      <c r="I177" s="3" t="str">
        <f>HYPERLINK(CONCATENATE("https://faluhong.users.earthengine.app/view/hispaniola-lc-validation#id=LC176;lat=19.55239340230606;lon=-71.373273138154;year=2011;bf=40;level=18;"), "landsat_time_series")</f>
        <v>landsat_time_series</v>
      </c>
      <c r="J177" s="3" t="str">
        <f>HYPERLINK(CONCATENATE("https://jstnbraaten.users.earthengine.app/view/landsat-timeseries-explorer#run=true;lon=-71.373273138154;lat=19.55239340230606;from=01-01;to=12-31;index=NBR;rgb=NIR%2FRED%2FGREEN;chipwidth=1;"), "landsat_chips")</f>
        <v>landsat_chips</v>
      </c>
      <c r="K177" s="3" t="str">
        <f>HYPERLINK(CONCATENATE("https://livingatlas.arcgis.com/wayback/#ext=-71.37427313815401,19.55339340230606,-71.372273138154,19.551393402306058"), "wayback")</f>
        <v>wayback</v>
      </c>
      <c r="L177" s="2" t="s">
        <v>921</v>
      </c>
      <c r="M177" s="5"/>
      <c r="N177" s="5" t="s">
        <v>21</v>
      </c>
    </row>
    <row r="178" spans="1:14" x14ac:dyDescent="0.35">
      <c r="A178" s="2">
        <v>177</v>
      </c>
      <c r="B178" s="2" t="s">
        <v>426</v>
      </c>
      <c r="C178" s="2" t="s">
        <v>194</v>
      </c>
      <c r="D178" s="2">
        <v>2002</v>
      </c>
      <c r="E178" s="2" t="s">
        <v>10</v>
      </c>
      <c r="F178" s="2">
        <v>1</v>
      </c>
      <c r="G178" s="2">
        <v>19.07021479159117</v>
      </c>
      <c r="H178" s="2">
        <v>-69.440563483222249</v>
      </c>
      <c r="I178" s="3" t="str">
        <f>HYPERLINK(CONCATENATE("https://faluhong.users.earthengine.app/view/hispaniola-lc-validation#id=LC177;lat=19.070214791591166;lon=-69.44056348322225;year=2002;bf=40;level=18;"), "landsat_time_series")</f>
        <v>landsat_time_series</v>
      </c>
      <c r="J178" s="3" t="str">
        <f>HYPERLINK(CONCATENATE("https://jstnbraaten.users.earthengine.app/view/landsat-timeseries-explorer#run=true;lon=-69.44056348322225;lat=19.070214791591166;from=01-01;to=12-31;index=NBR;rgb=NIR%2FRED%2FGREEN;chipwidth=1;"), "landsat_chips")</f>
        <v>landsat_chips</v>
      </c>
      <c r="K178" s="3" t="str">
        <f>HYPERLINK(CONCATENATE("https://livingatlas.arcgis.com/wayback/#ext=-69.44156348322225,19.071214791591167,-69.43956348322224,19.069214791591165"), "wayback")</f>
        <v>wayback</v>
      </c>
      <c r="L178" s="2" t="s">
        <v>24</v>
      </c>
      <c r="M178" s="5"/>
      <c r="N178" s="5" t="s">
        <v>24</v>
      </c>
    </row>
    <row r="179" spans="1:14" x14ac:dyDescent="0.35">
      <c r="A179" s="2">
        <v>178</v>
      </c>
      <c r="B179" s="2" t="s">
        <v>426</v>
      </c>
      <c r="C179" s="2" t="s">
        <v>195</v>
      </c>
      <c r="D179" s="2">
        <v>1997</v>
      </c>
      <c r="E179" s="2" t="s">
        <v>20</v>
      </c>
      <c r="F179" s="2">
        <v>1086</v>
      </c>
      <c r="G179" s="2">
        <v>18.429809015281201</v>
      </c>
      <c r="H179" s="2">
        <v>-71.951344868749089</v>
      </c>
      <c r="I179" s="3" t="str">
        <f>HYPERLINK(CONCATENATE("https://faluhong.users.earthengine.app/view/hispaniola-lc-validation#id=LC178;lat=18.4298090152812;lon=-71.95134486874909;year=1997;bf=40;level=18;"), "landsat_time_series")</f>
        <v>landsat_time_series</v>
      </c>
      <c r="J179" s="3" t="str">
        <f>HYPERLINK(CONCATENATE("https://jstnbraaten.users.earthengine.app/view/landsat-timeseries-explorer#run=true;lon=-71.95134486874909;lat=18.4298090152812;from=01-01;to=12-31;index=NBR;rgb=NIR%2FRED%2FGREEN;chipwidth=1;"), "landsat_chips")</f>
        <v>landsat_chips</v>
      </c>
      <c r="K179" s="3" t="str">
        <f>HYPERLINK(CONCATENATE("https://livingatlas.arcgis.com/wayback/#ext=-71.9523448687491,18.430809015281202,-71.95034486874908,18.4288090152812"), "wayback")</f>
        <v>wayback</v>
      </c>
      <c r="L179" s="2" t="s">
        <v>921</v>
      </c>
      <c r="M179" s="5"/>
      <c r="N179" s="5" t="s">
        <v>921</v>
      </c>
    </row>
    <row r="180" spans="1:14" x14ac:dyDescent="0.35">
      <c r="A180" s="2">
        <v>179</v>
      </c>
      <c r="B180" s="2" t="s">
        <v>426</v>
      </c>
      <c r="C180" s="2" t="s">
        <v>196</v>
      </c>
      <c r="D180" s="2">
        <v>2006</v>
      </c>
      <c r="E180" s="2" t="s">
        <v>10</v>
      </c>
      <c r="F180" s="2">
        <v>219</v>
      </c>
      <c r="G180" s="2">
        <v>19.354254585819341</v>
      </c>
      <c r="H180" s="2">
        <v>-70.601597432517892</v>
      </c>
      <c r="I180" s="3" t="str">
        <f>HYPERLINK(CONCATENATE("https://faluhong.users.earthengine.app/view/hispaniola-lc-validation#id=LC179;lat=19.354254585819344;lon=-70.60159743251789;year=2006;bf=40;level=18;"), "landsat_time_series")</f>
        <v>landsat_time_series</v>
      </c>
      <c r="J180" s="3" t="str">
        <f>HYPERLINK(CONCATENATE("https://jstnbraaten.users.earthengine.app/view/landsat-timeseries-explorer#run=true;lon=-70.60159743251789;lat=19.354254585819344;from=01-01;to=12-31;index=NBR;rgb=NIR%2FRED%2FGREEN;chipwidth=1;"), "landsat_chips")</f>
        <v>landsat_chips</v>
      </c>
      <c r="K180" s="3" t="str">
        <f>HYPERLINK(CONCATENATE("https://livingatlas.arcgis.com/wayback/#ext=-70.6025974325179,19.355254585819345,-70.60059743251789,19.353254585819343"), "wayback")</f>
        <v>wayback</v>
      </c>
      <c r="L180" s="2" t="s">
        <v>11</v>
      </c>
      <c r="M180" s="5"/>
      <c r="N180" s="5" t="s">
        <v>11</v>
      </c>
    </row>
    <row r="181" spans="1:14" x14ac:dyDescent="0.35">
      <c r="A181" s="2">
        <v>180</v>
      </c>
      <c r="B181" s="2" t="s">
        <v>426</v>
      </c>
      <c r="C181" s="2" t="s">
        <v>197</v>
      </c>
      <c r="D181" s="2">
        <v>2021</v>
      </c>
      <c r="E181" s="2" t="s">
        <v>10</v>
      </c>
      <c r="F181" s="2">
        <v>133</v>
      </c>
      <c r="G181" s="2">
        <v>19.090402833283289</v>
      </c>
      <c r="H181" s="2">
        <v>-69.737925032780041</v>
      </c>
      <c r="I181" s="3" t="str">
        <f>HYPERLINK(CONCATENATE("https://faluhong.users.earthengine.app/view/hispaniola-lc-validation#id=LC180;lat=19.090402833283285;lon=-69.73792503278004;year=2021;bf=40;level=18;"), "landsat_time_series")</f>
        <v>landsat_time_series</v>
      </c>
      <c r="J181" s="3" t="str">
        <f>HYPERLINK(CONCATENATE("https://jstnbraaten.users.earthengine.app/view/landsat-timeseries-explorer#run=true;lon=-69.73792503278004;lat=19.090402833283285;from=01-01;to=12-31;index=NBR;rgb=NIR%2FRED%2FGREEN;chipwidth=1;"), "landsat_chips")</f>
        <v>landsat_chips</v>
      </c>
      <c r="K181" s="3" t="str">
        <f>HYPERLINK(CONCATENATE("https://livingatlas.arcgis.com/wayback/#ext=-69.73892503278005,19.091402833283286,-69.73692503278004,19.089402833283284"), "wayback")</f>
        <v>wayback</v>
      </c>
      <c r="L181" s="2" t="s">
        <v>21</v>
      </c>
      <c r="M181" s="5"/>
      <c r="N181" s="5" t="s">
        <v>21</v>
      </c>
    </row>
    <row r="182" spans="1:14" x14ac:dyDescent="0.35">
      <c r="A182" s="2">
        <v>181</v>
      </c>
      <c r="B182" s="2" t="s">
        <v>426</v>
      </c>
      <c r="C182" s="2" t="s">
        <v>198</v>
      </c>
      <c r="D182" s="2">
        <v>2011</v>
      </c>
      <c r="E182" s="2" t="s">
        <v>10</v>
      </c>
      <c r="F182" s="2">
        <v>774</v>
      </c>
      <c r="G182" s="2">
        <v>18.09729957271934</v>
      </c>
      <c r="H182" s="2">
        <v>-71.396319853655498</v>
      </c>
      <c r="I182" s="3" t="str">
        <f>HYPERLINK(CONCATENATE("https://faluhong.users.earthengine.app/view/hispaniola-lc-validation#id=LC181;lat=18.097299572719344;lon=-71.3963198536555;year=2011;bf=40;level=18;"), "landsat_time_series")</f>
        <v>landsat_time_series</v>
      </c>
      <c r="J182" s="3" t="str">
        <f>HYPERLINK(CONCATENATE("https://jstnbraaten.users.earthengine.app/view/landsat-timeseries-explorer#run=true;lon=-71.3963198536555;lat=18.097299572719344;from=01-01;to=12-31;index=NBR;rgb=NIR%2FRED%2FGREEN;chipwidth=1;"), "landsat_chips")</f>
        <v>landsat_chips</v>
      </c>
      <c r="K182" s="3" t="str">
        <f>HYPERLINK(CONCATENATE("https://livingatlas.arcgis.com/wayback/#ext=-71.3973198536555,18.098299572719345,-71.3953198536555,18.096299572719342"), "wayback")</f>
        <v>wayback</v>
      </c>
      <c r="L182" s="2" t="s">
        <v>21</v>
      </c>
      <c r="M182" s="5"/>
      <c r="N182" s="5" t="s">
        <v>21</v>
      </c>
    </row>
    <row r="183" spans="1:14" x14ac:dyDescent="0.35">
      <c r="A183" s="2">
        <v>182</v>
      </c>
      <c r="B183" s="2" t="s">
        <v>426</v>
      </c>
      <c r="C183" s="2" t="s">
        <v>199</v>
      </c>
      <c r="D183" s="2">
        <v>2014</v>
      </c>
      <c r="E183" s="2" t="s">
        <v>20</v>
      </c>
      <c r="F183" s="2">
        <v>33</v>
      </c>
      <c r="G183" s="2">
        <v>18.173100479475391</v>
      </c>
      <c r="H183" s="2">
        <v>-73.877681305563101</v>
      </c>
      <c r="I183" s="3" t="str">
        <f>HYPERLINK(CONCATENATE("https://faluhong.users.earthengine.app/view/hispaniola-lc-validation#id=LC182;lat=18.17310047947539;lon=-73.8776813055631;year=2014;bf=40;level=18;"), "landsat_time_series")</f>
        <v>landsat_time_series</v>
      </c>
      <c r="J183" s="3" t="str">
        <f>HYPERLINK(CONCATENATE("https://jstnbraaten.users.earthengine.app/view/landsat-timeseries-explorer#run=true;lon=-73.8776813055631;lat=18.17310047947539;from=01-01;to=12-31;index=NBR;rgb=NIR%2FRED%2FGREEN;chipwidth=1;"), "landsat_chips")</f>
        <v>landsat_chips</v>
      </c>
      <c r="K183" s="3" t="str">
        <f>HYPERLINK(CONCATENATE("https://livingatlas.arcgis.com/wayback/#ext=-73.8786813055631,18.174100479475392,-73.8766813055631,18.17210047947539"), "wayback")</f>
        <v>wayback</v>
      </c>
      <c r="L183" s="2" t="s">
        <v>921</v>
      </c>
      <c r="M183" s="5"/>
      <c r="N183" s="5" t="s">
        <v>921</v>
      </c>
    </row>
    <row r="184" spans="1:14" x14ac:dyDescent="0.35">
      <c r="A184" s="2">
        <v>183</v>
      </c>
      <c r="B184" s="2" t="s">
        <v>426</v>
      </c>
      <c r="C184" s="2" t="s">
        <v>200</v>
      </c>
      <c r="D184" s="2">
        <v>1997</v>
      </c>
      <c r="E184" s="2" t="s">
        <v>10</v>
      </c>
      <c r="F184" s="2">
        <v>280</v>
      </c>
      <c r="G184" s="2">
        <v>19.77882747549069</v>
      </c>
      <c r="H184" s="2">
        <v>-71.235375448414672</v>
      </c>
      <c r="I184" s="3" t="str">
        <f>HYPERLINK(CONCATENATE("https://faluhong.users.earthengine.app/view/hispaniola-lc-validation#id=LC183;lat=19.778827475490694;lon=-71.23537544841467;year=1997;bf=40;level=18;"), "landsat_time_series")</f>
        <v>landsat_time_series</v>
      </c>
      <c r="J184" s="3" t="str">
        <f>HYPERLINK(CONCATENATE("https://jstnbraaten.users.earthengine.app/view/landsat-timeseries-explorer#run=true;lon=-71.23537544841467;lat=19.778827475490694;from=01-01;to=12-31;index=NBR;rgb=NIR%2FRED%2FGREEN;chipwidth=1;"), "landsat_chips")</f>
        <v>landsat_chips</v>
      </c>
      <c r="K184" s="3" t="str">
        <f>HYPERLINK(CONCATENATE("https://livingatlas.arcgis.com/wayback/#ext=-71.23637544841468,19.779827475490695,-71.23437544841467,19.777827475490692"), "wayback")</f>
        <v>wayback</v>
      </c>
      <c r="L184" s="2" t="s">
        <v>921</v>
      </c>
      <c r="M184" s="5"/>
      <c r="N184" s="5" t="s">
        <v>921</v>
      </c>
    </row>
    <row r="185" spans="1:14" x14ac:dyDescent="0.35">
      <c r="A185" s="2">
        <v>184</v>
      </c>
      <c r="B185" s="2" t="s">
        <v>426</v>
      </c>
      <c r="C185" s="2" t="s">
        <v>201</v>
      </c>
      <c r="D185" s="2">
        <v>1997</v>
      </c>
      <c r="E185" s="2" t="s">
        <v>10</v>
      </c>
      <c r="F185" s="2">
        <v>25</v>
      </c>
      <c r="G185" s="2">
        <v>18.587728463289601</v>
      </c>
      <c r="H185" s="2">
        <v>-69.625514976503538</v>
      </c>
      <c r="I185" s="3" t="str">
        <f>HYPERLINK(CONCATENATE("https://faluhong.users.earthengine.app/view/hispaniola-lc-validation#id=LC184;lat=18.5877284632896;lon=-69.62551497650354;year=1997;bf=40;level=18;"), "landsat_time_series")</f>
        <v>landsat_time_series</v>
      </c>
      <c r="J185" s="3" t="str">
        <f>HYPERLINK(CONCATENATE("https://jstnbraaten.users.earthengine.app/view/landsat-timeseries-explorer#run=true;lon=-69.62551497650354;lat=18.5877284632896;from=01-01;to=12-31;index=NBR;rgb=NIR%2FRED%2FGREEN;chipwidth=1;"), "landsat_chips")</f>
        <v>landsat_chips</v>
      </c>
      <c r="K185" s="3" t="str">
        <f>HYPERLINK(CONCATENATE("https://livingatlas.arcgis.com/wayback/#ext=-69.62651497650354,18.588728463289602,-69.62451497650353,18.5867284632896"), "wayback")</f>
        <v>wayback</v>
      </c>
      <c r="L185" s="2" t="s">
        <v>11</v>
      </c>
      <c r="M185" s="5" t="b">
        <v>1</v>
      </c>
      <c r="N185" s="5" t="s">
        <v>921</v>
      </c>
    </row>
    <row r="186" spans="1:14" x14ac:dyDescent="0.35">
      <c r="A186" s="2">
        <v>185</v>
      </c>
      <c r="B186" s="2" t="s">
        <v>426</v>
      </c>
      <c r="C186" s="2" t="s">
        <v>202</v>
      </c>
      <c r="D186" s="2">
        <v>2013</v>
      </c>
      <c r="E186" s="2" t="s">
        <v>20</v>
      </c>
      <c r="F186" s="2">
        <v>407</v>
      </c>
      <c r="G186" s="2">
        <v>18.239884707833589</v>
      </c>
      <c r="H186" s="2">
        <v>-73.927149456705735</v>
      </c>
      <c r="I186" s="3" t="str">
        <f>HYPERLINK(CONCATENATE("https://faluhong.users.earthengine.app/view/hispaniola-lc-validation#id=LC185;lat=18.23988470783359;lon=-73.92714945670573;year=2013;bf=40;level=18;"), "landsat_time_series")</f>
        <v>landsat_time_series</v>
      </c>
      <c r="J186" s="3" t="str">
        <f>HYPERLINK(CONCATENATE("https://jstnbraaten.users.earthengine.app/view/landsat-timeseries-explorer#run=true;lon=-73.92714945670573;lat=18.23988470783359;from=01-01;to=12-31;index=NBR;rgb=NIR%2FRED%2FGREEN;chipwidth=1;"), "landsat_chips")</f>
        <v>landsat_chips</v>
      </c>
      <c r="K186" s="3" t="str">
        <f>HYPERLINK(CONCATENATE("https://livingatlas.arcgis.com/wayback/#ext=-73.92814945670574,18.24088470783359,-73.92614945670573,18.238884707833588"), "wayback")</f>
        <v>wayback</v>
      </c>
      <c r="L186" s="2" t="s">
        <v>921</v>
      </c>
      <c r="M186" s="5" t="b">
        <v>1</v>
      </c>
      <c r="N186" s="5" t="s">
        <v>11</v>
      </c>
    </row>
    <row r="187" spans="1:14" x14ac:dyDescent="0.35">
      <c r="A187" s="2">
        <v>186</v>
      </c>
      <c r="B187" s="2" t="s">
        <v>426</v>
      </c>
      <c r="C187" s="2" t="s">
        <v>203</v>
      </c>
      <c r="D187" s="2">
        <v>2011</v>
      </c>
      <c r="E187" s="2" t="s">
        <v>10</v>
      </c>
      <c r="F187" s="2">
        <v>15</v>
      </c>
      <c r="G187" s="2">
        <v>18.252814201143799</v>
      </c>
      <c r="H187" s="2">
        <v>-68.703416469014471</v>
      </c>
      <c r="I187" s="3" t="str">
        <f>HYPERLINK(CONCATENATE("https://faluhong.users.earthengine.app/view/hispaniola-lc-validation#id=LC186;lat=18.252814201143796;lon=-68.70341646901447;year=2011;bf=40;level=18;"), "landsat_time_series")</f>
        <v>landsat_time_series</v>
      </c>
      <c r="J187" s="3" t="str">
        <f>HYPERLINK(CONCATENATE("https://jstnbraaten.users.earthengine.app/view/landsat-timeseries-explorer#run=true;lon=-68.70341646901447;lat=18.252814201143796;from=01-01;to=12-31;index=NBR;rgb=NIR%2FRED%2FGREEN;chipwidth=1;"), "landsat_chips")</f>
        <v>landsat_chips</v>
      </c>
      <c r="K187" s="3" t="str">
        <f>HYPERLINK(CONCATENATE("https://livingatlas.arcgis.com/wayback/#ext=-68.70441646901448,18.253814201143797,-68.70241646901447,18.251814201143794"), "wayback")</f>
        <v>wayback</v>
      </c>
      <c r="L187" s="2" t="s">
        <v>18</v>
      </c>
      <c r="M187" s="5"/>
      <c r="N187" s="5" t="s">
        <v>18</v>
      </c>
    </row>
    <row r="188" spans="1:14" x14ac:dyDescent="0.35">
      <c r="A188" s="2">
        <v>187</v>
      </c>
      <c r="B188" s="2" t="s">
        <v>426</v>
      </c>
      <c r="C188" s="2" t="s">
        <v>204</v>
      </c>
      <c r="D188" s="2">
        <v>2014</v>
      </c>
      <c r="E188" s="2" t="s">
        <v>20</v>
      </c>
      <c r="F188" s="2">
        <v>156</v>
      </c>
      <c r="G188" s="2">
        <v>19.697383668024809</v>
      </c>
      <c r="H188" s="2">
        <v>-73.070186690214157</v>
      </c>
      <c r="I188" s="3" t="str">
        <f>HYPERLINK(CONCATENATE("https://faluhong.users.earthengine.app/view/hispaniola-lc-validation#id=LC187;lat=19.697383668024806;lon=-73.07018669021416;year=2014;bf=40;level=18;"), "landsat_time_series")</f>
        <v>landsat_time_series</v>
      </c>
      <c r="J188" s="3" t="str">
        <f>HYPERLINK(CONCATENATE("https://jstnbraaten.users.earthengine.app/view/landsat-timeseries-explorer#run=true;lon=-73.07018669021416;lat=19.697383668024806;from=01-01;to=12-31;index=NBR;rgb=NIR%2FRED%2FGREEN;chipwidth=1;"), "landsat_chips")</f>
        <v>landsat_chips</v>
      </c>
      <c r="K188" s="3" t="str">
        <f>HYPERLINK(CONCATENATE("https://livingatlas.arcgis.com/wayback/#ext=-73.07118669021416,19.698383668024807,-73.06918669021415,19.696383668024804"), "wayback")</f>
        <v>wayback</v>
      </c>
      <c r="L188" s="2" t="s">
        <v>921</v>
      </c>
      <c r="M188" s="5"/>
      <c r="N188" s="5" t="s">
        <v>921</v>
      </c>
    </row>
    <row r="189" spans="1:14" x14ac:dyDescent="0.35">
      <c r="A189" s="2">
        <v>188</v>
      </c>
      <c r="B189" s="2" t="s">
        <v>426</v>
      </c>
      <c r="C189" s="2" t="s">
        <v>205</v>
      </c>
      <c r="D189" s="2">
        <v>2000</v>
      </c>
      <c r="E189" s="2" t="s">
        <v>10</v>
      </c>
      <c r="F189" s="2">
        <v>7</v>
      </c>
      <c r="G189" s="2">
        <v>18.3177766056791</v>
      </c>
      <c r="H189" s="2">
        <v>-68.611261160253051</v>
      </c>
      <c r="I189" s="3" t="str">
        <f>HYPERLINK(CONCATENATE("https://faluhong.users.earthengine.app/view/hispaniola-lc-validation#id=LC188;lat=18.317776605679104;lon=-68.61126116025305;year=2000;bf=40;level=18;"), "landsat_time_series")</f>
        <v>landsat_time_series</v>
      </c>
      <c r="J189" s="3" t="str">
        <f>HYPERLINK(CONCATENATE("https://jstnbraaten.users.earthengine.app/view/landsat-timeseries-explorer#run=true;lon=-68.61126116025305;lat=18.317776605679104;from=01-01;to=12-31;index=NBR;rgb=NIR%2FRED%2FGREEN;chipwidth=1;"), "landsat_chips")</f>
        <v>landsat_chips</v>
      </c>
      <c r="K189" s="3" t="str">
        <f>HYPERLINK(CONCATENATE("https://livingatlas.arcgis.com/wayback/#ext=-68.61226116025306,18.318776605679105,-68.61026116025305,18.316776605679102"), "wayback")</f>
        <v>wayback</v>
      </c>
      <c r="L189" s="2" t="s">
        <v>18</v>
      </c>
      <c r="M189" s="5"/>
      <c r="N189" s="5" t="s">
        <v>18</v>
      </c>
    </row>
    <row r="190" spans="1:14" x14ac:dyDescent="0.35">
      <c r="A190" s="2">
        <v>189</v>
      </c>
      <c r="B190" s="2" t="s">
        <v>426</v>
      </c>
      <c r="C190" s="2" t="s">
        <v>206</v>
      </c>
      <c r="D190" s="2">
        <v>2014</v>
      </c>
      <c r="E190" s="2" t="s">
        <v>10</v>
      </c>
      <c r="F190" s="2">
        <v>1160</v>
      </c>
      <c r="G190" s="2">
        <v>19.14842837637531</v>
      </c>
      <c r="H190" s="2">
        <v>-70.84038441681713</v>
      </c>
      <c r="I190" s="3" t="str">
        <f>HYPERLINK(CONCATENATE("https://faluhong.users.earthengine.app/view/hispaniola-lc-validation#id=LC189;lat=19.14842837637531;lon=-70.84038441681713;year=2014;bf=40;level=18;"), "landsat_time_series")</f>
        <v>landsat_time_series</v>
      </c>
      <c r="J190" s="3" t="str">
        <f>HYPERLINK(CONCATENATE("https://jstnbraaten.users.earthengine.app/view/landsat-timeseries-explorer#run=true;lon=-70.84038441681713;lat=19.14842837637531;from=01-01;to=12-31;index=NBR;rgb=NIR%2FRED%2FGREEN;chipwidth=1;"), "landsat_chips")</f>
        <v>landsat_chips</v>
      </c>
      <c r="K190" s="3" t="str">
        <f>HYPERLINK(CONCATENATE("https://livingatlas.arcgis.com/wayback/#ext=-70.84138441681714,19.14942837637531,-70.83938441681713,19.14742837637531"), "wayback")</f>
        <v>wayback</v>
      </c>
      <c r="L190" s="2" t="s">
        <v>21</v>
      </c>
      <c r="M190" s="5"/>
      <c r="N190" s="5" t="s">
        <v>38</v>
      </c>
    </row>
    <row r="191" spans="1:14" x14ac:dyDescent="0.35">
      <c r="A191" s="2">
        <v>190</v>
      </c>
      <c r="B191" s="2" t="s">
        <v>426</v>
      </c>
      <c r="C191" s="2" t="s">
        <v>207</v>
      </c>
      <c r="D191" s="2">
        <v>2012</v>
      </c>
      <c r="E191" s="2" t="s">
        <v>10</v>
      </c>
      <c r="F191" s="2">
        <v>11</v>
      </c>
      <c r="G191" s="2">
        <v>19.02382739846297</v>
      </c>
      <c r="H191" s="2">
        <v>-68.950114250892184</v>
      </c>
      <c r="I191" s="3" t="str">
        <f>HYPERLINK(CONCATENATE("https://faluhong.users.earthengine.app/view/hispaniola-lc-validation#id=LC190;lat=19.023827398462974;lon=-68.95011425089218;year=2012;bf=40;level=18;"), "landsat_time_series")</f>
        <v>landsat_time_series</v>
      </c>
      <c r="J191" s="3" t="str">
        <f>HYPERLINK(CONCATENATE("https://jstnbraaten.users.earthengine.app/view/landsat-timeseries-explorer#run=true;lon=-68.95011425089218;lat=19.023827398462974;from=01-01;to=12-31;index=NBR;rgb=NIR%2FRED%2FGREEN;chipwidth=1;"), "landsat_chips")</f>
        <v>landsat_chips</v>
      </c>
      <c r="K191" s="3" t="str">
        <f>HYPERLINK(CONCATENATE("https://livingatlas.arcgis.com/wayback/#ext=-68.95111425089219,19.024827398462975,-68.94911425089218,19.022827398462972"), "wayback")</f>
        <v>wayback</v>
      </c>
      <c r="L191" s="2" t="s">
        <v>24</v>
      </c>
      <c r="M191" s="5"/>
      <c r="N191" s="5" t="s">
        <v>24</v>
      </c>
    </row>
    <row r="192" spans="1:14" x14ac:dyDescent="0.35">
      <c r="A192" s="2">
        <v>191</v>
      </c>
      <c r="B192" s="2" t="s">
        <v>427</v>
      </c>
      <c r="C192" s="2" t="s">
        <v>208</v>
      </c>
      <c r="D192" s="2">
        <v>2002</v>
      </c>
      <c r="E192" s="2" t="s">
        <v>10</v>
      </c>
      <c r="F192" s="2">
        <v>114</v>
      </c>
      <c r="G192" s="2">
        <v>18.45087296647845</v>
      </c>
      <c r="H192" s="2">
        <v>-70.147877949351994</v>
      </c>
      <c r="I192" s="3" t="str">
        <f>HYPERLINK(CONCATENATE("https://faluhong.users.earthengine.app/view/hispaniola-lc-validation#id=LC191;lat=18.45087296647845;lon=-70.147877949352;year=2002;bf=40;level=18;"), "landsat_time_series")</f>
        <v>landsat_time_series</v>
      </c>
      <c r="J192" s="3" t="str">
        <f>HYPERLINK(CONCATENATE("https://jstnbraaten.users.earthengine.app/view/landsat-timeseries-explorer#run=true;lon=-70.147877949352;lat=18.45087296647845;from=01-01;to=12-31;index=NBR;rgb=NIR%2FRED%2FGREEN;chipwidth=1;"), "landsat_chips")</f>
        <v>landsat_chips</v>
      </c>
      <c r="K192" s="3" t="str">
        <f>HYPERLINK(CONCATENATE("https://livingatlas.arcgis.com/wayback/#ext=-70.148877949352,18.45187296647845,-70.14687794935199,18.44987296647845"), "wayback")</f>
        <v>wayback</v>
      </c>
      <c r="L192" s="2" t="s">
        <v>921</v>
      </c>
      <c r="M192" s="6"/>
      <c r="N192" s="6" t="s">
        <v>21</v>
      </c>
    </row>
    <row r="193" spans="1:14" x14ac:dyDescent="0.35">
      <c r="A193" s="2">
        <v>192</v>
      </c>
      <c r="B193" s="2" t="s">
        <v>427</v>
      </c>
      <c r="C193" s="2" t="s">
        <v>209</v>
      </c>
      <c r="D193" s="2">
        <v>2016</v>
      </c>
      <c r="E193" s="2" t="s">
        <v>10</v>
      </c>
      <c r="F193" s="2">
        <v>-3</v>
      </c>
      <c r="G193" s="2">
        <v>18.387774250782769</v>
      </c>
      <c r="H193" s="2">
        <v>-71.396572347186165</v>
      </c>
      <c r="I193" s="3" t="str">
        <f>HYPERLINK(CONCATENATE("https://faluhong.users.earthengine.app/view/hispaniola-lc-validation#id=LC192;lat=18.387774250782766;lon=-71.39657234718617;year=2016;bf=40;level=18;"), "landsat_time_series")</f>
        <v>landsat_time_series</v>
      </c>
      <c r="J193" s="3" t="str">
        <f>HYPERLINK(CONCATENATE("https://jstnbraaten.users.earthengine.app/view/landsat-timeseries-explorer#run=true;lon=-71.39657234718617;lat=18.387774250782766;from=01-01;to=12-31;index=NBR;rgb=NIR%2FRED%2FGREEN;chipwidth=1;"), "landsat_chips")</f>
        <v>landsat_chips</v>
      </c>
      <c r="K193" s="3" t="str">
        <f>HYPERLINK(CONCATENATE("https://livingatlas.arcgis.com/wayback/#ext=-71.39757234718617,18.388774250782767,-71.39557234718616,18.386774250782764"), "wayback")</f>
        <v>wayback</v>
      </c>
      <c r="L193" s="2" t="s">
        <v>13</v>
      </c>
      <c r="M193" s="6"/>
      <c r="N193" s="6" t="s">
        <v>21</v>
      </c>
    </row>
    <row r="194" spans="1:14" x14ac:dyDescent="0.35">
      <c r="A194" s="2">
        <v>193</v>
      </c>
      <c r="B194" s="2" t="s">
        <v>427</v>
      </c>
      <c r="C194" s="2" t="s">
        <v>210</v>
      </c>
      <c r="D194" s="2">
        <v>2008</v>
      </c>
      <c r="E194" s="2" t="s">
        <v>20</v>
      </c>
      <c r="F194" s="2">
        <v>343</v>
      </c>
      <c r="G194" s="2">
        <v>19.798629820310239</v>
      </c>
      <c r="H194" s="2">
        <v>-73.112619790967685</v>
      </c>
      <c r="I194" s="3" t="str">
        <f>HYPERLINK(CONCATENATE("https://faluhong.users.earthengine.app/view/hispaniola-lc-validation#id=LC193;lat=19.798629820310236;lon=-73.11261979096768;year=2008;bf=40;level=18;"), "landsat_time_series")</f>
        <v>landsat_time_series</v>
      </c>
      <c r="J194" s="3" t="str">
        <f>HYPERLINK(CONCATENATE("https://jstnbraaten.users.earthengine.app/view/landsat-timeseries-explorer#run=true;lon=-73.11261979096768;lat=19.798629820310236;from=01-01;to=12-31;index=NBR;rgb=NIR%2FRED%2FGREEN;chipwidth=1;"), "landsat_chips")</f>
        <v>landsat_chips</v>
      </c>
      <c r="K194" s="3" t="str">
        <f>HYPERLINK(CONCATENATE("https://livingatlas.arcgis.com/wayback/#ext=-73.11361979096769,19.799629820310237,-73.11161979096768,19.797629820310235"), "wayback")</f>
        <v>wayback</v>
      </c>
      <c r="L194" s="2" t="s">
        <v>21</v>
      </c>
      <c r="M194" s="6"/>
      <c r="N194" s="6" t="s">
        <v>21</v>
      </c>
    </row>
    <row r="195" spans="1:14" x14ac:dyDescent="0.35">
      <c r="A195" s="2">
        <v>194</v>
      </c>
      <c r="B195" s="2" t="s">
        <v>427</v>
      </c>
      <c r="C195" s="2" t="s">
        <v>211</v>
      </c>
      <c r="D195" s="2">
        <v>2006</v>
      </c>
      <c r="E195" s="2" t="s">
        <v>10</v>
      </c>
      <c r="F195" s="2">
        <v>12</v>
      </c>
      <c r="G195" s="2">
        <v>18.251855899948701</v>
      </c>
      <c r="H195" s="2">
        <v>-68.712802839564461</v>
      </c>
      <c r="I195" s="3" t="str">
        <f>HYPERLINK(CONCATENATE("https://faluhong.users.earthengine.app/view/hispaniola-lc-validation#id=LC194;lat=18.2518558999487;lon=-68.71280283956446;year=2006;bf=40;level=18;"), "landsat_time_series")</f>
        <v>landsat_time_series</v>
      </c>
      <c r="J195" s="3" t="str">
        <f>HYPERLINK(CONCATENATE("https://jstnbraaten.users.earthengine.app/view/landsat-timeseries-explorer#run=true;lon=-68.71280283956446;lat=18.2518558999487;from=01-01;to=12-31;index=NBR;rgb=NIR%2FRED%2FGREEN;chipwidth=1;"), "landsat_chips")</f>
        <v>landsat_chips</v>
      </c>
      <c r="K195" s="3" t="str">
        <f>HYPERLINK(CONCATENATE("https://livingatlas.arcgis.com/wayback/#ext=-68.71380283956447,18.252855899948703,-68.71180283956446,18.2508558999487"), "wayback")</f>
        <v>wayback</v>
      </c>
      <c r="L195" s="2" t="s">
        <v>18</v>
      </c>
      <c r="M195" s="6"/>
      <c r="N195" s="6" t="s">
        <v>18</v>
      </c>
    </row>
    <row r="196" spans="1:14" x14ac:dyDescent="0.35">
      <c r="A196" s="2">
        <v>195</v>
      </c>
      <c r="B196" s="2" t="s">
        <v>427</v>
      </c>
      <c r="C196" s="2" t="s">
        <v>212</v>
      </c>
      <c r="D196" s="2">
        <v>2007</v>
      </c>
      <c r="E196" s="2" t="s">
        <v>10</v>
      </c>
      <c r="F196" s="2">
        <v>64</v>
      </c>
      <c r="G196" s="2">
        <v>19.185418682916168</v>
      </c>
      <c r="H196" s="2">
        <v>-70.458946462247184</v>
      </c>
      <c r="I196" s="3" t="str">
        <f>HYPERLINK(CONCATENATE("https://faluhong.users.earthengine.app/view/hispaniola-lc-validation#id=LC195;lat=19.18541868291617;lon=-70.45894646224718;year=2007;bf=40;level=18;"), "landsat_time_series")</f>
        <v>landsat_time_series</v>
      </c>
      <c r="J196" s="3" t="str">
        <f>HYPERLINK(CONCATENATE("https://jstnbraaten.users.earthengine.app/view/landsat-timeseries-explorer#run=true;lon=-70.45894646224718;lat=19.18541868291617;from=01-01;to=12-31;index=NBR;rgb=NIR%2FRED%2FGREEN;chipwidth=1;"), "landsat_chips")</f>
        <v>landsat_chips</v>
      </c>
      <c r="K196" s="3" t="str">
        <f>HYPERLINK(CONCATENATE("https://livingatlas.arcgis.com/wayback/#ext=-70.45994646224719,19.18641868291617,-70.45794646224718,19.184418682916167"), "wayback")</f>
        <v>wayback</v>
      </c>
      <c r="L196" s="2" t="s">
        <v>921</v>
      </c>
      <c r="M196" s="6"/>
      <c r="N196" s="6" t="s">
        <v>921</v>
      </c>
    </row>
    <row r="197" spans="1:14" x14ac:dyDescent="0.35">
      <c r="A197" s="2">
        <v>196</v>
      </c>
      <c r="B197" s="2" t="s">
        <v>427</v>
      </c>
      <c r="C197" s="2" t="s">
        <v>213</v>
      </c>
      <c r="D197" s="2">
        <v>2002</v>
      </c>
      <c r="E197" s="2" t="s">
        <v>10</v>
      </c>
      <c r="F197" s="2">
        <v>17</v>
      </c>
      <c r="G197" s="2">
        <v>18.445562089971329</v>
      </c>
      <c r="H197" s="2">
        <v>-69.578426979936054</v>
      </c>
      <c r="I197" s="3" t="str">
        <f>HYPERLINK(CONCATENATE("https://faluhong.users.earthengine.app/view/hispaniola-lc-validation#id=LC196;lat=18.445562089971332;lon=-69.57842697993605;year=2002;bf=40;level=18;"), "landsat_time_series")</f>
        <v>landsat_time_series</v>
      </c>
      <c r="J197" s="3" t="str">
        <f>HYPERLINK(CONCATENATE("https://jstnbraaten.users.earthengine.app/view/landsat-timeseries-explorer#run=true;lon=-69.57842697993605;lat=18.445562089971332;from=01-01;to=12-31;index=NBR;rgb=NIR%2FRED%2FGREEN;chipwidth=1;"), "landsat_chips")</f>
        <v>landsat_chips</v>
      </c>
      <c r="K197" s="3" t="str">
        <f>HYPERLINK(CONCATENATE("https://livingatlas.arcgis.com/wayback/#ext=-69.57942697993606,18.446562089971334,-69.57742697993605,18.44456208997133"), "wayback")</f>
        <v>wayback</v>
      </c>
      <c r="L197" s="2" t="s">
        <v>18</v>
      </c>
      <c r="M197" s="6"/>
      <c r="N197" s="6" t="s">
        <v>21</v>
      </c>
    </row>
    <row r="198" spans="1:14" x14ac:dyDescent="0.35">
      <c r="A198" s="2">
        <v>197</v>
      </c>
      <c r="B198" s="2" t="s">
        <v>427</v>
      </c>
      <c r="C198" s="2" t="s">
        <v>214</v>
      </c>
      <c r="D198" s="2">
        <v>1996</v>
      </c>
      <c r="E198" s="2" t="s">
        <v>10</v>
      </c>
      <c r="F198" s="2">
        <v>1947</v>
      </c>
      <c r="G198" s="2">
        <v>19.179972242346619</v>
      </c>
      <c r="H198" s="2">
        <v>-71.028168851910749</v>
      </c>
      <c r="I198" s="3" t="str">
        <f>HYPERLINK(CONCATENATE("https://faluhong.users.earthengine.app/view/hispaniola-lc-validation#id=LC197;lat=19.179972242346615;lon=-71.02816885191075;year=1996;bf=40;level=18;"), "landsat_time_series")</f>
        <v>landsat_time_series</v>
      </c>
      <c r="J198" s="3" t="str">
        <f>HYPERLINK(CONCATENATE("https://jstnbraaten.users.earthengine.app/view/landsat-timeseries-explorer#run=true;lon=-71.02816885191075;lat=19.179972242346615;from=01-01;to=12-31;index=NBR;rgb=NIR%2FRED%2FGREEN;chipwidth=1;"), "landsat_chips")</f>
        <v>landsat_chips</v>
      </c>
      <c r="K198" s="3" t="str">
        <f>HYPERLINK(CONCATENATE("https://livingatlas.arcgis.com/wayback/#ext=-71.02916885191075,19.180972242346616,-71.02716885191074,19.178972242346614"), "wayback")</f>
        <v>wayback</v>
      </c>
      <c r="L198" s="2" t="s">
        <v>38</v>
      </c>
      <c r="M198" s="6"/>
      <c r="N198" s="6" t="s">
        <v>38</v>
      </c>
    </row>
    <row r="199" spans="1:14" x14ac:dyDescent="0.35">
      <c r="A199" s="2">
        <v>198</v>
      </c>
      <c r="B199" s="2" t="s">
        <v>427</v>
      </c>
      <c r="C199" s="2" t="s">
        <v>215</v>
      </c>
      <c r="D199" s="2">
        <v>2000</v>
      </c>
      <c r="E199" s="2" t="s">
        <v>10</v>
      </c>
      <c r="F199" s="2">
        <v>77</v>
      </c>
      <c r="G199" s="2">
        <v>18.61381548564637</v>
      </c>
      <c r="H199" s="2">
        <v>-69.111422373178272</v>
      </c>
      <c r="I199" s="3" t="str">
        <f>HYPERLINK(CONCATENATE("https://faluhong.users.earthengine.app/view/hispaniola-lc-validation#id=LC198;lat=18.613815485646366;lon=-69.11142237317827;year=2000;bf=40;level=18;"), "landsat_time_series")</f>
        <v>landsat_time_series</v>
      </c>
      <c r="J199" s="3" t="str">
        <f>HYPERLINK(CONCATENATE("https://jstnbraaten.users.earthengine.app/view/landsat-timeseries-explorer#run=true;lon=-69.11142237317827;lat=18.613815485646366;from=01-01;to=12-31;index=NBR;rgb=NIR%2FRED%2FGREEN;chipwidth=1;"), "landsat_chips")</f>
        <v>landsat_chips</v>
      </c>
      <c r="K199" s="3" t="str">
        <f>HYPERLINK(CONCATENATE("https://livingatlas.arcgis.com/wayback/#ext=-69.11242237317828,18.614815485646368,-69.11042237317827,18.612815485646365"), "wayback")</f>
        <v>wayback</v>
      </c>
      <c r="L199" s="2" t="s">
        <v>921</v>
      </c>
      <c r="M199" s="6"/>
      <c r="N199" s="6" t="s">
        <v>921</v>
      </c>
    </row>
    <row r="200" spans="1:14" x14ac:dyDescent="0.35">
      <c r="A200" s="2">
        <v>199</v>
      </c>
      <c r="B200" s="2" t="s">
        <v>427</v>
      </c>
      <c r="C200" s="2" t="s">
        <v>216</v>
      </c>
      <c r="D200" s="2">
        <v>1999</v>
      </c>
      <c r="E200" s="2" t="s">
        <v>10</v>
      </c>
      <c r="F200" s="2">
        <v>1107</v>
      </c>
      <c r="G200" s="2">
        <v>19.095813700698439</v>
      </c>
      <c r="H200" s="2">
        <v>-70.779328126240031</v>
      </c>
      <c r="I200" s="3" t="str">
        <f>HYPERLINK(CONCATENATE("https://faluhong.users.earthengine.app/view/hispaniola-lc-validation#id=LC199;lat=19.095813700698443;lon=-70.77932812624003;year=1999;bf=40;level=18;"), "landsat_time_series")</f>
        <v>landsat_time_series</v>
      </c>
      <c r="J200" s="3" t="str">
        <f>HYPERLINK(CONCATENATE("https://jstnbraaten.users.earthengine.app/view/landsat-timeseries-explorer#run=true;lon=-70.77932812624003;lat=19.095813700698443;from=01-01;to=12-31;index=NBR;rgb=NIR%2FRED%2FGREEN;chipwidth=1;"), "landsat_chips")</f>
        <v>landsat_chips</v>
      </c>
      <c r="K200" s="3" t="str">
        <f>HYPERLINK(CONCATENATE("https://livingatlas.arcgis.com/wayback/#ext=-70.78032812624004,19.096813700698444,-70.77832812624003,19.09481370069844"), "wayback")</f>
        <v>wayback</v>
      </c>
      <c r="L200" s="2" t="s">
        <v>38</v>
      </c>
      <c r="M200" s="6" t="b">
        <v>1</v>
      </c>
      <c r="N200" s="6"/>
    </row>
    <row r="201" spans="1:14" x14ac:dyDescent="0.35">
      <c r="A201" s="2">
        <v>200</v>
      </c>
      <c r="B201" s="2" t="s">
        <v>427</v>
      </c>
      <c r="C201" s="2" t="s">
        <v>217</v>
      </c>
      <c r="D201" s="2">
        <v>2017</v>
      </c>
      <c r="E201" s="2" t="s">
        <v>10</v>
      </c>
      <c r="F201" s="2">
        <v>55</v>
      </c>
      <c r="G201" s="2">
        <v>18.348362432339371</v>
      </c>
      <c r="H201" s="2">
        <v>-68.773480482777487</v>
      </c>
      <c r="I201" s="3" t="str">
        <f>HYPERLINK(CONCATENATE("https://faluhong.users.earthengine.app/view/hispaniola-lc-validation#id=LC200;lat=18.34836243233937;lon=-68.77348048277749;year=2017;bf=40;level=18;"), "landsat_time_series")</f>
        <v>landsat_time_series</v>
      </c>
      <c r="J201" s="3" t="str">
        <f>HYPERLINK(CONCATENATE("https://jstnbraaten.users.earthengine.app/view/landsat-timeseries-explorer#run=true;lon=-68.77348048277749;lat=18.34836243233937;from=01-01;to=12-31;index=NBR;rgb=NIR%2FRED%2FGREEN;chipwidth=1;"), "landsat_chips")</f>
        <v>landsat_chips</v>
      </c>
      <c r="K201" s="3" t="str">
        <f>HYPERLINK(CONCATENATE("https://livingatlas.arcgis.com/wayback/#ext=-68.77448048277749,18.349362432339372,-68.77248048277748,18.34736243233937"), "wayback")</f>
        <v>wayback</v>
      </c>
      <c r="L201" s="2" t="s">
        <v>18</v>
      </c>
      <c r="M201" s="6"/>
      <c r="N201" s="6" t="s">
        <v>18</v>
      </c>
    </row>
    <row r="202" spans="1:14" x14ac:dyDescent="0.35">
      <c r="A202" s="2">
        <v>201</v>
      </c>
      <c r="B202" s="2" t="s">
        <v>427</v>
      </c>
      <c r="C202" s="2" t="s">
        <v>218</v>
      </c>
      <c r="D202" s="2">
        <v>2000</v>
      </c>
      <c r="E202" s="2" t="s">
        <v>10</v>
      </c>
      <c r="F202" s="2">
        <v>43</v>
      </c>
      <c r="G202" s="2">
        <v>18.702173416002861</v>
      </c>
      <c r="H202" s="2">
        <v>-69.134914234490552</v>
      </c>
      <c r="I202" s="3" t="str">
        <f>HYPERLINK(CONCATENATE("https://faluhong.users.earthengine.app/view/hispaniola-lc-validation#id=LC201;lat=18.70217341600286;lon=-69.13491423449055;year=2000;bf=40;level=18;"), "landsat_time_series")</f>
        <v>landsat_time_series</v>
      </c>
      <c r="J202" s="3" t="str">
        <f>HYPERLINK(CONCATENATE("https://jstnbraaten.users.earthengine.app/view/landsat-timeseries-explorer#run=true;lon=-69.13491423449055;lat=18.70217341600286;from=01-01;to=12-31;index=NBR;rgb=NIR%2FRED%2FGREEN;chipwidth=1;"), "landsat_chips")</f>
        <v>landsat_chips</v>
      </c>
      <c r="K202" s="3" t="str">
        <f>HYPERLINK(CONCATENATE("https://livingatlas.arcgis.com/wayback/#ext=-69.13591423449056,18.703173416002862,-69.13391423449055,18.70117341600286"), "wayback")</f>
        <v>wayback</v>
      </c>
      <c r="L202" s="2" t="s">
        <v>921</v>
      </c>
      <c r="M202" s="6"/>
      <c r="N202" s="6" t="s">
        <v>921</v>
      </c>
    </row>
    <row r="203" spans="1:14" x14ac:dyDescent="0.35">
      <c r="A203" s="2">
        <v>202</v>
      </c>
      <c r="B203" s="2" t="s">
        <v>427</v>
      </c>
      <c r="C203" s="2" t="s">
        <v>219</v>
      </c>
      <c r="D203" s="2">
        <v>1997</v>
      </c>
      <c r="E203" s="2" t="s">
        <v>20</v>
      </c>
      <c r="F203" s="2">
        <v>466</v>
      </c>
      <c r="G203" s="2">
        <v>19.5136014933714</v>
      </c>
      <c r="H203" s="2">
        <v>-72.486224339101838</v>
      </c>
      <c r="I203" s="3" t="str">
        <f>HYPERLINK(CONCATENATE("https://faluhong.users.earthengine.app/view/hispaniola-lc-validation#id=LC202;lat=19.513601493371397;lon=-72.48622433910184;year=1997;bf=40;level=18;"), "landsat_time_series")</f>
        <v>landsat_time_series</v>
      </c>
      <c r="J203" s="3" t="str">
        <f>HYPERLINK(CONCATENATE("https://jstnbraaten.users.earthengine.app/view/landsat-timeseries-explorer#run=true;lon=-72.48622433910184;lat=19.513601493371397;from=01-01;to=12-31;index=NBR;rgb=NIR%2FRED%2FGREEN;chipwidth=1;"), "landsat_chips")</f>
        <v>landsat_chips</v>
      </c>
      <c r="K203" s="3" t="str">
        <f>HYPERLINK(CONCATENATE("https://livingatlas.arcgis.com/wayback/#ext=-72.48722433910184,19.514601493371398,-72.48522433910183,19.512601493371395"), "wayback")</f>
        <v>wayback</v>
      </c>
      <c r="L203" s="2" t="s">
        <v>21</v>
      </c>
      <c r="M203" s="6"/>
      <c r="N203" s="6" t="s">
        <v>21</v>
      </c>
    </row>
    <row r="204" spans="1:14" x14ac:dyDescent="0.35">
      <c r="A204" s="2">
        <v>203</v>
      </c>
      <c r="B204" s="2" t="s">
        <v>427</v>
      </c>
      <c r="C204" s="2" t="s">
        <v>220</v>
      </c>
      <c r="D204" s="2">
        <v>2008</v>
      </c>
      <c r="E204" s="2" t="s">
        <v>10</v>
      </c>
      <c r="F204" s="2">
        <v>135</v>
      </c>
      <c r="G204" s="2">
        <v>17.72801262363576</v>
      </c>
      <c r="H204" s="2">
        <v>-71.426175719015561</v>
      </c>
      <c r="I204" s="3" t="str">
        <f>HYPERLINK(CONCATENATE("https://faluhong.users.earthengine.app/view/hispaniola-lc-validation#id=LC203;lat=17.72801262363576;lon=-71.42617571901556;year=2008;bf=40;level=18;"), "landsat_time_series")</f>
        <v>landsat_time_series</v>
      </c>
      <c r="J204" s="3" t="str">
        <f>HYPERLINK(CONCATENATE("https://jstnbraaten.users.earthengine.app/view/landsat-timeseries-explorer#run=true;lon=-71.42617571901556;lat=17.72801262363576;from=01-01;to=12-31;index=NBR;rgb=NIR%2FRED%2FGREEN;chipwidth=1;"), "landsat_chips")</f>
        <v>landsat_chips</v>
      </c>
      <c r="K204" s="3" t="str">
        <f>HYPERLINK(CONCATENATE("https://livingatlas.arcgis.com/wayback/#ext=-71.42717571901557,17.72901262363576,-71.42517571901556,17.72701262363576"), "wayback")</f>
        <v>wayback</v>
      </c>
      <c r="L204" s="2" t="s">
        <v>18</v>
      </c>
      <c r="M204" s="6"/>
      <c r="N204" s="6" t="s">
        <v>18</v>
      </c>
    </row>
    <row r="205" spans="1:14" x14ac:dyDescent="0.35">
      <c r="A205" s="2">
        <v>204</v>
      </c>
      <c r="B205" s="2" t="s">
        <v>427</v>
      </c>
      <c r="C205" s="2" t="s">
        <v>221</v>
      </c>
      <c r="D205" s="2">
        <v>2010</v>
      </c>
      <c r="E205" s="2" t="s">
        <v>10</v>
      </c>
      <c r="F205" s="2">
        <v>273</v>
      </c>
      <c r="G205" s="2">
        <v>18.290838840705749</v>
      </c>
      <c r="H205" s="2">
        <v>-70.977548173101411</v>
      </c>
      <c r="I205" s="3" t="str">
        <f>HYPERLINK(CONCATENATE("https://faluhong.users.earthengine.app/view/hispaniola-lc-validation#id=LC204;lat=18.290838840705746;lon=-70.97754817310141;year=2010;bf=40;level=18;"), "landsat_time_series")</f>
        <v>landsat_time_series</v>
      </c>
      <c r="J205" s="3" t="str">
        <f>HYPERLINK(CONCATENATE("https://jstnbraaten.users.earthengine.app/view/landsat-timeseries-explorer#run=true;lon=-70.97754817310141;lat=18.290838840705746;from=01-01;to=12-31;index=NBR;rgb=NIR%2FRED%2FGREEN;chipwidth=1;"), "landsat_chips")</f>
        <v>landsat_chips</v>
      </c>
      <c r="K205" s="3" t="str">
        <f>HYPERLINK(CONCATENATE("https://livingatlas.arcgis.com/wayback/#ext=-70.97854817310142,18.291838840705747,-70.9765481731014,18.289838840705745"), "wayback")</f>
        <v>wayback</v>
      </c>
      <c r="L205" s="2" t="s">
        <v>18</v>
      </c>
      <c r="M205" s="6"/>
      <c r="N205" s="6" t="s">
        <v>18</v>
      </c>
    </row>
    <row r="206" spans="1:14" x14ac:dyDescent="0.35">
      <c r="A206" s="2">
        <v>205</v>
      </c>
      <c r="B206" s="2" t="s">
        <v>427</v>
      </c>
      <c r="C206" s="2" t="s">
        <v>222</v>
      </c>
      <c r="D206" s="2">
        <v>2018</v>
      </c>
      <c r="E206" s="2" t="s">
        <v>10</v>
      </c>
      <c r="F206" s="2">
        <v>200</v>
      </c>
      <c r="G206" s="2">
        <v>17.711360707093071</v>
      </c>
      <c r="H206" s="2">
        <v>-71.449515937972606</v>
      </c>
      <c r="I206" s="3" t="str">
        <f>HYPERLINK(CONCATENATE("https://faluhong.users.earthengine.app/view/hispaniola-lc-validation#id=LC205;lat=17.711360707093068;lon=-71.4495159379726;year=2018;bf=40;level=18;"), "landsat_time_series")</f>
        <v>landsat_time_series</v>
      </c>
      <c r="J206" s="3" t="str">
        <f>HYPERLINK(CONCATENATE("https://jstnbraaten.users.earthengine.app/view/landsat-timeseries-explorer#run=true;lon=-71.4495159379726;lat=17.711360707093068;from=01-01;to=12-31;index=NBR;rgb=NIR%2FRED%2FGREEN;chipwidth=1;"), "landsat_chips")</f>
        <v>landsat_chips</v>
      </c>
      <c r="K206" s="3" t="str">
        <f>HYPERLINK(CONCATENATE("https://livingatlas.arcgis.com/wayback/#ext=-71.45051593797261,17.71236070709307,-71.4485159379726,17.710360707093066"), "wayback")</f>
        <v>wayback</v>
      </c>
      <c r="L206" s="2" t="s">
        <v>18</v>
      </c>
      <c r="M206" s="6"/>
      <c r="N206" s="6" t="s">
        <v>18</v>
      </c>
    </row>
    <row r="207" spans="1:14" x14ac:dyDescent="0.35">
      <c r="A207" s="2">
        <v>206</v>
      </c>
      <c r="B207" s="2" t="s">
        <v>427</v>
      </c>
      <c r="C207" s="2" t="s">
        <v>223</v>
      </c>
      <c r="D207" s="2">
        <v>2006</v>
      </c>
      <c r="E207" s="2" t="s">
        <v>20</v>
      </c>
      <c r="F207" s="2">
        <v>4</v>
      </c>
      <c r="G207" s="2">
        <v>19.93570775605032</v>
      </c>
      <c r="H207" s="2">
        <v>-72.891386818577359</v>
      </c>
      <c r="I207" s="3" t="str">
        <f>HYPERLINK(CONCATENATE("https://faluhong.users.earthengine.app/view/hispaniola-lc-validation#id=LC206;lat=19.93570775605032;lon=-72.89138681857736;year=2006;bf=40;level=18;"), "landsat_time_series")</f>
        <v>landsat_time_series</v>
      </c>
      <c r="J207" s="3" t="str">
        <f>HYPERLINK(CONCATENATE("https://jstnbraaten.users.earthengine.app/view/landsat-timeseries-explorer#run=true;lon=-72.89138681857736;lat=19.93570775605032;from=01-01;to=12-31;index=NBR;rgb=NIR%2FRED%2FGREEN;chipwidth=1;"), "landsat_chips")</f>
        <v>landsat_chips</v>
      </c>
      <c r="K207" s="3" t="str">
        <f>HYPERLINK(CONCATENATE("https://livingatlas.arcgis.com/wayback/#ext=-72.89238681857736,19.93670775605032,-72.89038681857735,19.93470775605032"), "wayback")</f>
        <v>wayback</v>
      </c>
      <c r="L207" s="2" t="s">
        <v>15</v>
      </c>
      <c r="M207" s="6"/>
      <c r="N207" s="6" t="s">
        <v>15</v>
      </c>
    </row>
    <row r="208" spans="1:14" x14ac:dyDescent="0.35">
      <c r="A208" s="2">
        <v>207</v>
      </c>
      <c r="B208" s="2" t="s">
        <v>427</v>
      </c>
      <c r="C208" s="2" t="s">
        <v>224</v>
      </c>
      <c r="D208" s="2">
        <v>2020</v>
      </c>
      <c r="E208" s="2" t="s">
        <v>20</v>
      </c>
      <c r="F208" s="2">
        <v>2</v>
      </c>
      <c r="G208" s="2">
        <v>19.341347966891419</v>
      </c>
      <c r="H208" s="2">
        <v>-72.704522653536003</v>
      </c>
      <c r="I208" s="3" t="str">
        <f>HYPERLINK(CONCATENATE("https://faluhong.users.earthengine.app/view/hispaniola-lc-validation#id=LC207;lat=19.341347966891416;lon=-72.704522653536;year=2020;bf=40;level=18;"), "landsat_time_series")</f>
        <v>landsat_time_series</v>
      </c>
      <c r="J208" s="3" t="str">
        <f>HYPERLINK(CONCATENATE("https://jstnbraaten.users.earthengine.app/view/landsat-timeseries-explorer#run=true;lon=-72.704522653536;lat=19.341347966891416;from=01-01;to=12-31;index=NBR;rgb=NIR%2FRED%2FGREEN;chipwidth=1;"), "landsat_chips")</f>
        <v>landsat_chips</v>
      </c>
      <c r="K208" s="3" t="str">
        <f>HYPERLINK(CONCATENATE("https://livingatlas.arcgis.com/wayback/#ext=-72.70552265353601,19.342347966891417,-72.703522653536,19.340347966891414"), "wayback")</f>
        <v>wayback</v>
      </c>
      <c r="L208" s="2" t="s">
        <v>15</v>
      </c>
      <c r="M208" s="6"/>
      <c r="N208" s="6" t="s">
        <v>15</v>
      </c>
    </row>
    <row r="209" spans="1:14" x14ac:dyDescent="0.35">
      <c r="A209" s="2">
        <v>208</v>
      </c>
      <c r="B209" s="2" t="s">
        <v>427</v>
      </c>
      <c r="C209" s="2" t="s">
        <v>225</v>
      </c>
      <c r="D209" s="2">
        <v>2016</v>
      </c>
      <c r="E209" s="2" t="s">
        <v>20</v>
      </c>
      <c r="F209" s="2">
        <v>903</v>
      </c>
      <c r="G209" s="2">
        <v>19.16353835401749</v>
      </c>
      <c r="H209" s="2">
        <v>-72.370203337763698</v>
      </c>
      <c r="I209" s="3" t="str">
        <f>HYPERLINK(CONCATENATE("https://faluhong.users.earthengine.app/view/hispaniola-lc-validation#id=LC208;lat=19.16353835401749;lon=-72.3702033377637;year=2016;bf=40;level=18;"), "landsat_time_series")</f>
        <v>landsat_time_series</v>
      </c>
      <c r="J209" s="3" t="str">
        <f>HYPERLINK(CONCATENATE("https://jstnbraaten.users.earthengine.app/view/landsat-timeseries-explorer#run=true;lon=-72.3702033377637;lat=19.16353835401749;from=01-01;to=12-31;index=NBR;rgb=NIR%2FRED%2FGREEN;chipwidth=1;"), "landsat_chips")</f>
        <v>landsat_chips</v>
      </c>
      <c r="K209" s="3" t="str">
        <f>HYPERLINK(CONCATENATE("https://livingatlas.arcgis.com/wayback/#ext=-72.3712033377637,19.16453835401749,-72.3692033377637,19.16253835401749"), "wayback")</f>
        <v>wayback</v>
      </c>
      <c r="L209" s="2" t="s">
        <v>921</v>
      </c>
      <c r="M209" s="6"/>
      <c r="N209" s="6" t="s">
        <v>921</v>
      </c>
    </row>
    <row r="210" spans="1:14" x14ac:dyDescent="0.35">
      <c r="A210" s="2">
        <v>209</v>
      </c>
      <c r="B210" s="2" t="s">
        <v>427</v>
      </c>
      <c r="C210" s="2" t="s">
        <v>226</v>
      </c>
      <c r="D210" s="2">
        <v>2009</v>
      </c>
      <c r="E210" s="2" t="s">
        <v>10</v>
      </c>
      <c r="F210" s="2">
        <v>2027</v>
      </c>
      <c r="G210" s="2">
        <v>18.644395230418809</v>
      </c>
      <c r="H210" s="2">
        <v>-70.632883553066179</v>
      </c>
      <c r="I210" s="3" t="str">
        <f>HYPERLINK(CONCATENATE("https://faluhong.users.earthengine.app/view/hispaniola-lc-validation#id=LC209;lat=18.644395230418805;lon=-70.63288355306618;year=2009;bf=40;level=18;"), "landsat_time_series")</f>
        <v>landsat_time_series</v>
      </c>
      <c r="J210" s="3" t="str">
        <f>HYPERLINK(CONCATENATE("https://jstnbraaten.users.earthengine.app/view/landsat-timeseries-explorer#run=true;lon=-70.63288355306618;lat=18.644395230418805;from=01-01;to=12-31;index=NBR;rgb=NIR%2FRED%2FGREEN;chipwidth=1;"), "landsat_chips")</f>
        <v>landsat_chips</v>
      </c>
      <c r="K210" s="3" t="str">
        <f>HYPERLINK(CONCATENATE("https://livingatlas.arcgis.com/wayback/#ext=-70.63388355306618,18.645395230418806,-70.63188355306617,18.643395230418804"), "wayback")</f>
        <v>wayback</v>
      </c>
      <c r="L210" s="2" t="s">
        <v>38</v>
      </c>
      <c r="M210" s="6"/>
      <c r="N210" s="6" t="s">
        <v>38</v>
      </c>
    </row>
    <row r="211" spans="1:14" x14ac:dyDescent="0.35">
      <c r="A211" s="2">
        <v>210</v>
      </c>
      <c r="B211" s="2" t="s">
        <v>427</v>
      </c>
      <c r="C211" s="2" t="s">
        <v>227</v>
      </c>
      <c r="D211" s="2">
        <v>2020</v>
      </c>
      <c r="E211" s="2" t="s">
        <v>10</v>
      </c>
      <c r="F211" s="2">
        <v>1241</v>
      </c>
      <c r="G211" s="2">
        <v>18.636090991578179</v>
      </c>
      <c r="H211" s="2">
        <v>-70.276223563577773</v>
      </c>
      <c r="I211" s="3" t="str">
        <f>HYPERLINK(CONCATENATE("https://faluhong.users.earthengine.app/view/hispaniola-lc-validation#id=LC210;lat=18.63609099157818;lon=-70.27622356357777;year=2020;bf=40;level=18;"), "landsat_time_series")</f>
        <v>landsat_time_series</v>
      </c>
      <c r="J211" s="3" t="str">
        <f>HYPERLINK(CONCATENATE("https://jstnbraaten.users.earthengine.app/view/landsat-timeseries-explorer#run=true;lon=-70.27622356357777;lat=18.63609099157818;from=01-01;to=12-31;index=NBR;rgb=NIR%2FRED%2FGREEN;chipwidth=1;"), "landsat_chips")</f>
        <v>landsat_chips</v>
      </c>
      <c r="K211" s="3" t="str">
        <f>HYPERLINK(CONCATENATE("https://livingatlas.arcgis.com/wayback/#ext=-70.27722356357778,18.63709099157818,-70.27522356357777,18.635090991578178"), "wayback")</f>
        <v>wayback</v>
      </c>
      <c r="L211" s="2" t="s">
        <v>38</v>
      </c>
      <c r="M211" s="6"/>
      <c r="N211" s="6" t="s">
        <v>38</v>
      </c>
    </row>
    <row r="212" spans="1:14" x14ac:dyDescent="0.35">
      <c r="A212" s="2">
        <v>211</v>
      </c>
      <c r="B212" s="2" t="s">
        <v>427</v>
      </c>
      <c r="C212" s="2" t="s">
        <v>228</v>
      </c>
      <c r="D212" s="2">
        <v>1999</v>
      </c>
      <c r="E212" s="2" t="s">
        <v>10</v>
      </c>
      <c r="F212" s="2">
        <v>197</v>
      </c>
      <c r="G212" s="2">
        <v>17.79761574819193</v>
      </c>
      <c r="H212" s="2">
        <v>-71.505437847307988</v>
      </c>
      <c r="I212" s="3" t="str">
        <f>HYPERLINK(CONCATENATE("https://faluhong.users.earthengine.app/view/hispaniola-lc-validation#id=LC211;lat=17.797615748191927;lon=-71.50543784730799;year=1999;bf=40;level=18;"), "landsat_time_series")</f>
        <v>landsat_time_series</v>
      </c>
      <c r="J212" s="3" t="str">
        <f>HYPERLINK(CONCATENATE("https://jstnbraaten.users.earthengine.app/view/landsat-timeseries-explorer#run=true;lon=-71.50543784730799;lat=17.797615748191927;from=01-01;to=12-31;index=NBR;rgb=NIR%2FRED%2FGREEN;chipwidth=1;"), "landsat_chips")</f>
        <v>landsat_chips</v>
      </c>
      <c r="K212" s="3" t="str">
        <f>HYPERLINK(CONCATENATE("https://livingatlas.arcgis.com/wayback/#ext=-71.50643784730799,17.798615748191928,-71.50443784730798,17.796615748191925"), "wayback")</f>
        <v>wayback</v>
      </c>
      <c r="L212" s="2" t="s">
        <v>13</v>
      </c>
      <c r="M212" s="6"/>
      <c r="N212" s="6" t="s">
        <v>21</v>
      </c>
    </row>
    <row r="213" spans="1:14" x14ac:dyDescent="0.35">
      <c r="A213" s="2">
        <v>212</v>
      </c>
      <c r="B213" s="2" t="s">
        <v>427</v>
      </c>
      <c r="C213" s="2" t="s">
        <v>229</v>
      </c>
      <c r="D213" s="2">
        <v>2010</v>
      </c>
      <c r="E213" s="2" t="s">
        <v>20</v>
      </c>
      <c r="F213" s="2">
        <v>1529</v>
      </c>
      <c r="G213" s="2">
        <v>18.363625810744601</v>
      </c>
      <c r="H213" s="2">
        <v>-72.088528625756453</v>
      </c>
      <c r="I213" s="3" t="str">
        <f>HYPERLINK(CONCATENATE("https://faluhong.users.earthengine.app/view/hispaniola-lc-validation#id=LC212;lat=18.3636258107446;lon=-72.08852862575645;year=2010;bf=40;level=18;"), "landsat_time_series")</f>
        <v>landsat_time_series</v>
      </c>
      <c r="J213" s="3" t="str">
        <f>HYPERLINK(CONCATENATE("https://jstnbraaten.users.earthengine.app/view/landsat-timeseries-explorer#run=true;lon=-72.08852862575645;lat=18.3636258107446;from=01-01;to=12-31;index=NBR;rgb=NIR%2FRED%2FGREEN;chipwidth=1;"), "landsat_chips")</f>
        <v>landsat_chips</v>
      </c>
      <c r="K213" s="3" t="str">
        <f>HYPERLINK(CONCATENATE("https://livingatlas.arcgis.com/wayback/#ext=-72.08952862575646,18.364625810744602,-72.08752862575645,18.3626258107446"), "wayback")</f>
        <v>wayback</v>
      </c>
      <c r="L213" s="2" t="s">
        <v>38</v>
      </c>
      <c r="M213" s="6"/>
      <c r="N213" s="6" t="s">
        <v>21</v>
      </c>
    </row>
    <row r="214" spans="1:14" x14ac:dyDescent="0.35">
      <c r="A214" s="2">
        <v>213</v>
      </c>
      <c r="B214" s="2" t="s">
        <v>427</v>
      </c>
      <c r="C214" s="2" t="s">
        <v>230</v>
      </c>
      <c r="D214" s="2">
        <v>2016</v>
      </c>
      <c r="E214" s="2" t="s">
        <v>10</v>
      </c>
      <c r="F214" s="2">
        <v>567</v>
      </c>
      <c r="G214" s="2">
        <v>19.35732243995426</v>
      </c>
      <c r="H214" s="2">
        <v>-71.201066906691352</v>
      </c>
      <c r="I214" s="3" t="str">
        <f>HYPERLINK(CONCATENATE("https://faluhong.users.earthengine.app/view/hispaniola-lc-validation#id=LC213;lat=19.357322439954263;lon=-71.20106690669135;year=2016;bf=40;level=18;"), "landsat_time_series")</f>
        <v>landsat_time_series</v>
      </c>
      <c r="J214" s="3" t="str">
        <f>HYPERLINK(CONCATENATE("https://jstnbraaten.users.earthengine.app/view/landsat-timeseries-explorer#run=true;lon=-71.20106690669135;lat=19.357322439954263;from=01-01;to=12-31;index=NBR;rgb=NIR%2FRED%2FGREEN;chipwidth=1;"), "landsat_chips")</f>
        <v>landsat_chips</v>
      </c>
      <c r="K214" s="3" t="str">
        <f>HYPERLINK(CONCATENATE("https://livingatlas.arcgis.com/wayback/#ext=-71.20206690669136,19.358322439954264,-71.20006690669135,19.356322439954262"), "wayback")</f>
        <v>wayback</v>
      </c>
      <c r="L214" s="2" t="s">
        <v>18</v>
      </c>
      <c r="M214" s="6"/>
      <c r="N214" s="6" t="s">
        <v>38</v>
      </c>
    </row>
    <row r="215" spans="1:14" x14ac:dyDescent="0.35">
      <c r="A215" s="2">
        <v>214</v>
      </c>
      <c r="B215" s="2" t="s">
        <v>427</v>
      </c>
      <c r="C215" s="2" t="s">
        <v>231</v>
      </c>
      <c r="D215" s="2">
        <v>1996</v>
      </c>
      <c r="E215" s="2" t="s">
        <v>20</v>
      </c>
      <c r="F215" s="2">
        <v>335</v>
      </c>
      <c r="G215" s="2">
        <v>19.2504125314166</v>
      </c>
      <c r="H215" s="2">
        <v>-72.2832998966377</v>
      </c>
      <c r="I215" s="3" t="str">
        <f>HYPERLINK(CONCATENATE("https://faluhong.users.earthengine.app/view/hispaniola-lc-validation#id=LC214;lat=19.250412531416604;lon=-72.2832998966377;year=1996;bf=40;level=18;"), "landsat_time_series")</f>
        <v>landsat_time_series</v>
      </c>
      <c r="J215" s="3" t="str">
        <f>HYPERLINK(CONCATENATE("https://jstnbraaten.users.earthengine.app/view/landsat-timeseries-explorer#run=true;lon=-72.2832998966377;lat=19.250412531416604;from=01-01;to=12-31;index=NBR;rgb=NIR%2FRED%2FGREEN;chipwidth=1;"), "landsat_chips")</f>
        <v>landsat_chips</v>
      </c>
      <c r="K215" s="3" t="str">
        <f>HYPERLINK(CONCATENATE("https://livingatlas.arcgis.com/wayback/#ext=-72.2842998966377,19.251412531416605,-72.2822998966377,19.249412531416603"), "wayback")</f>
        <v>wayback</v>
      </c>
      <c r="L215" s="2" t="s">
        <v>921</v>
      </c>
      <c r="M215" s="6"/>
      <c r="N215" s="6" t="s">
        <v>921</v>
      </c>
    </row>
    <row r="216" spans="1:14" x14ac:dyDescent="0.35">
      <c r="A216" s="2">
        <v>215</v>
      </c>
      <c r="B216" s="2" t="s">
        <v>427</v>
      </c>
      <c r="C216" s="2" t="s">
        <v>232</v>
      </c>
      <c r="D216" s="2">
        <v>2018</v>
      </c>
      <c r="E216" s="2" t="s">
        <v>10</v>
      </c>
      <c r="F216" s="2">
        <v>4</v>
      </c>
      <c r="G216" s="2">
        <v>18.74031834272736</v>
      </c>
      <c r="H216" s="2">
        <v>-68.495280764799759</v>
      </c>
      <c r="I216" s="3" t="str">
        <f>HYPERLINK(CONCATENATE("https://faluhong.users.earthengine.app/view/hispaniola-lc-validation#id=LC215;lat=18.74031834272736;lon=-68.49528076479976;year=2018;bf=40;level=18;"), "landsat_time_series")</f>
        <v>landsat_time_series</v>
      </c>
      <c r="J216" s="3" t="str">
        <f>HYPERLINK(CONCATENATE("https://jstnbraaten.users.earthengine.app/view/landsat-timeseries-explorer#run=true;lon=-68.49528076479976;lat=18.74031834272736;from=01-01;to=12-31;index=NBR;rgb=NIR%2FRED%2FGREEN;chipwidth=1;"), "landsat_chips")</f>
        <v>landsat_chips</v>
      </c>
      <c r="K216" s="3" t="str">
        <f>HYPERLINK(CONCATENATE("https://livingatlas.arcgis.com/wayback/#ext=-68.49628076479976,18.74131834272736,-68.49428076479975,18.73931834272736"), "wayback")</f>
        <v>wayback</v>
      </c>
      <c r="L216" s="2" t="s">
        <v>18</v>
      </c>
      <c r="M216" s="6"/>
      <c r="N216" s="6" t="s">
        <v>18</v>
      </c>
    </row>
    <row r="217" spans="1:14" x14ac:dyDescent="0.35">
      <c r="A217" s="2">
        <v>216</v>
      </c>
      <c r="B217" s="2" t="s">
        <v>427</v>
      </c>
      <c r="C217" s="2" t="s">
        <v>233</v>
      </c>
      <c r="D217" s="2">
        <v>2005</v>
      </c>
      <c r="E217" s="2" t="s">
        <v>20</v>
      </c>
      <c r="F217" s="2">
        <v>1275</v>
      </c>
      <c r="G217" s="2">
        <v>18.347950164780361</v>
      </c>
      <c r="H217" s="2">
        <v>-72.841307686989438</v>
      </c>
      <c r="I217" s="3" t="str">
        <f>HYPERLINK(CONCATENATE("https://faluhong.users.earthengine.app/view/hispaniola-lc-validation#id=LC216;lat=18.347950164780357;lon=-72.84130768698944;year=2005;bf=40;level=18;"), "landsat_time_series")</f>
        <v>landsat_time_series</v>
      </c>
      <c r="J217" s="3" t="str">
        <f>HYPERLINK(CONCATENATE("https://jstnbraaten.users.earthengine.app/view/landsat-timeseries-explorer#run=true;lon=-72.84130768698944;lat=18.347950164780357;from=01-01;to=12-31;index=NBR;rgb=NIR%2FRED%2FGREEN;chipwidth=1;"), "landsat_chips")</f>
        <v>landsat_chips</v>
      </c>
      <c r="K217" s="3" t="str">
        <f>HYPERLINK(CONCATENATE("https://livingatlas.arcgis.com/wayback/#ext=-72.84230768698944,18.34895016478036,-72.84030768698943,18.346950164780356"), "wayback")</f>
        <v>wayback</v>
      </c>
      <c r="L217" s="2" t="s">
        <v>921</v>
      </c>
      <c r="M217" s="6"/>
      <c r="N217" s="6" t="s">
        <v>921</v>
      </c>
    </row>
    <row r="218" spans="1:14" x14ac:dyDescent="0.35">
      <c r="A218" s="2">
        <v>217</v>
      </c>
      <c r="B218" s="2" t="s">
        <v>427</v>
      </c>
      <c r="C218" s="2" t="s">
        <v>234</v>
      </c>
      <c r="D218" s="2">
        <v>2018</v>
      </c>
      <c r="E218" s="2" t="s">
        <v>10</v>
      </c>
      <c r="F218" s="2">
        <v>3</v>
      </c>
      <c r="G218" s="2">
        <v>18.814966982961462</v>
      </c>
      <c r="H218" s="2">
        <v>-68.647463629445525</v>
      </c>
      <c r="I218" s="3" t="str">
        <f>HYPERLINK(CONCATENATE("https://faluhong.users.earthengine.app/view/hispaniola-lc-validation#id=LC217;lat=18.81496698296146;lon=-68.64746362944553;year=2018;bf=40;level=18;"), "landsat_time_series")</f>
        <v>landsat_time_series</v>
      </c>
      <c r="J218" s="3" t="str">
        <f>HYPERLINK(CONCATENATE("https://jstnbraaten.users.earthengine.app/view/landsat-timeseries-explorer#run=true;lon=-68.64746362944553;lat=18.81496698296146;from=01-01;to=12-31;index=NBR;rgb=NIR%2FRED%2FGREEN;chipwidth=1;"), "landsat_chips")</f>
        <v>landsat_chips</v>
      </c>
      <c r="K218" s="3" t="str">
        <f>HYPERLINK(CONCATENATE("https://livingatlas.arcgis.com/wayback/#ext=-68.64846362944553,18.815966982961463,-68.64646362944552,18.81396698296146"), "wayback")</f>
        <v>wayback</v>
      </c>
      <c r="L218" s="2" t="s">
        <v>921</v>
      </c>
      <c r="M218" s="6"/>
      <c r="N218" s="6" t="s">
        <v>921</v>
      </c>
    </row>
    <row r="219" spans="1:14" x14ac:dyDescent="0.35">
      <c r="A219" s="2">
        <v>218</v>
      </c>
      <c r="B219" s="2" t="s">
        <v>427</v>
      </c>
      <c r="C219" s="2" t="s">
        <v>235</v>
      </c>
      <c r="D219" s="2">
        <v>2002</v>
      </c>
      <c r="E219" s="2" t="s">
        <v>10</v>
      </c>
      <c r="F219" s="2">
        <v>194</v>
      </c>
      <c r="G219" s="2">
        <v>19.296604267403481</v>
      </c>
      <c r="H219" s="2">
        <v>-70.583376251747453</v>
      </c>
      <c r="I219" s="3" t="str">
        <f>HYPERLINK(CONCATENATE("https://faluhong.users.earthengine.app/view/hispaniola-lc-validation#id=LC218;lat=19.29660426740348;lon=-70.58337625174745;year=2002;bf=40;level=18;"), "landsat_time_series")</f>
        <v>landsat_time_series</v>
      </c>
      <c r="J219" s="3" t="str">
        <f>HYPERLINK(CONCATENATE("https://jstnbraaten.users.earthengine.app/view/landsat-timeseries-explorer#run=true;lon=-70.58337625174745;lat=19.29660426740348;from=01-01;to=12-31;index=NBR;rgb=NIR%2FRED%2FGREEN;chipwidth=1;"), "landsat_chips")</f>
        <v>landsat_chips</v>
      </c>
      <c r="K219" s="3" t="str">
        <f>HYPERLINK(CONCATENATE("https://livingatlas.arcgis.com/wayback/#ext=-70.58437625174746,19.297604267403482,-70.58237625174745,19.29560426740348"), "wayback")</f>
        <v>wayback</v>
      </c>
      <c r="L219" s="2" t="s">
        <v>11</v>
      </c>
      <c r="M219" s="6"/>
      <c r="N219" s="6" t="s">
        <v>21</v>
      </c>
    </row>
    <row r="220" spans="1:14" x14ac:dyDescent="0.35">
      <c r="A220" s="2">
        <v>219</v>
      </c>
      <c r="B220" s="2" t="s">
        <v>427</v>
      </c>
      <c r="C220" s="2" t="s">
        <v>236</v>
      </c>
      <c r="D220" s="2">
        <v>2000</v>
      </c>
      <c r="E220" s="2" t="s">
        <v>20</v>
      </c>
      <c r="F220" s="2">
        <v>196</v>
      </c>
      <c r="G220" s="2">
        <v>19.460237796949361</v>
      </c>
      <c r="H220" s="2">
        <v>-72.070097316823961</v>
      </c>
      <c r="I220" s="3" t="str">
        <f>HYPERLINK(CONCATENATE("https://faluhong.users.earthengine.app/view/hispaniola-lc-validation#id=LC219;lat=19.46023779694936;lon=-72.07009731682396;year=2000;bf=40;level=18;"), "landsat_time_series")</f>
        <v>landsat_time_series</v>
      </c>
      <c r="J220" s="3" t="str">
        <f>HYPERLINK(CONCATENATE("https://jstnbraaten.users.earthengine.app/view/landsat-timeseries-explorer#run=true;lon=-72.07009731682396;lat=19.46023779694936;from=01-01;to=12-31;index=NBR;rgb=NIR%2FRED%2FGREEN;chipwidth=1;"), "landsat_chips")</f>
        <v>landsat_chips</v>
      </c>
      <c r="K220" s="3" t="str">
        <f>HYPERLINK(CONCATENATE("https://livingatlas.arcgis.com/wayback/#ext=-72.07109731682397,19.461237796949362,-72.06909731682396,19.45923779694936"), "wayback")</f>
        <v>wayback</v>
      </c>
      <c r="L220" s="2" t="s">
        <v>21</v>
      </c>
      <c r="M220" s="6"/>
      <c r="N220" s="6" t="s">
        <v>21</v>
      </c>
    </row>
    <row r="221" spans="1:14" x14ac:dyDescent="0.35">
      <c r="A221" s="2">
        <v>220</v>
      </c>
      <c r="B221" s="2" t="s">
        <v>427</v>
      </c>
      <c r="C221" s="2" t="s">
        <v>237</v>
      </c>
      <c r="D221" s="2">
        <v>2010</v>
      </c>
      <c r="E221" s="2" t="s">
        <v>10</v>
      </c>
      <c r="F221" s="2">
        <v>203</v>
      </c>
      <c r="G221" s="2">
        <v>19.677275169009128</v>
      </c>
      <c r="H221" s="2">
        <v>-71.030976223864585</v>
      </c>
      <c r="I221" s="3" t="str">
        <f>HYPERLINK(CONCATENATE("https://faluhong.users.earthengine.app/view/hispaniola-lc-validation#id=LC220;lat=19.677275169009132;lon=-71.03097622386458;year=2010;bf=40;level=18;"), "landsat_time_series")</f>
        <v>landsat_time_series</v>
      </c>
      <c r="J221" s="3" t="str">
        <f>HYPERLINK(CONCATENATE("https://jstnbraaten.users.earthengine.app/view/landsat-timeseries-explorer#run=true;lon=-71.03097622386458;lat=19.677275169009132;from=01-01;to=12-31;index=NBR;rgb=NIR%2FRED%2FGREEN;chipwidth=1;"), "landsat_chips")</f>
        <v>landsat_chips</v>
      </c>
      <c r="K221" s="3" t="str">
        <f>HYPERLINK(CONCATENATE("https://livingatlas.arcgis.com/wayback/#ext=-71.03197622386459,19.678275169009133,-71.02997622386458,19.67627516900913"), "wayback")</f>
        <v>wayback</v>
      </c>
      <c r="L221" s="2" t="s">
        <v>921</v>
      </c>
      <c r="M221" s="6"/>
      <c r="N221" s="6" t="s">
        <v>21</v>
      </c>
    </row>
    <row r="222" spans="1:14" x14ac:dyDescent="0.35">
      <c r="A222" s="2">
        <v>221</v>
      </c>
      <c r="B222" s="2" t="s">
        <v>427</v>
      </c>
      <c r="C222" s="2" t="s">
        <v>238</v>
      </c>
      <c r="D222" s="2">
        <v>2011</v>
      </c>
      <c r="E222" s="2" t="s">
        <v>10</v>
      </c>
      <c r="F222" s="2">
        <v>151</v>
      </c>
      <c r="G222" s="2">
        <v>17.96926607620847</v>
      </c>
      <c r="H222" s="2">
        <v>-71.580860857611</v>
      </c>
      <c r="I222" s="3" t="str">
        <f>HYPERLINK(CONCATENATE("https://faluhong.users.earthengine.app/view/hispaniola-lc-validation#id=LC221;lat=17.969266076208473;lon=-71.580860857611;year=2011;bf=40;level=18;"), "landsat_time_series")</f>
        <v>landsat_time_series</v>
      </c>
      <c r="J222" s="3" t="str">
        <f>HYPERLINK(CONCATENATE("https://jstnbraaten.users.earthengine.app/view/landsat-timeseries-explorer#run=true;lon=-71.580860857611;lat=17.969266076208473;from=01-01;to=12-31;index=NBR;rgb=NIR%2FRED%2FGREEN;chipwidth=1;"), "landsat_chips")</f>
        <v>landsat_chips</v>
      </c>
      <c r="K222" s="3" t="str">
        <f>HYPERLINK(CONCATENATE("https://livingatlas.arcgis.com/wayback/#ext=-71.581860857611,17.970266076208475,-71.579860857611,17.968266076208472"), "wayback")</f>
        <v>wayback</v>
      </c>
      <c r="L222" s="2" t="s">
        <v>13</v>
      </c>
      <c r="M222" s="6"/>
      <c r="N222" s="6" t="s">
        <v>21</v>
      </c>
    </row>
    <row r="223" spans="1:14" x14ac:dyDescent="0.35">
      <c r="A223" s="2">
        <v>222</v>
      </c>
      <c r="B223" s="2" t="s">
        <v>427</v>
      </c>
      <c r="C223" s="2" t="s">
        <v>239</v>
      </c>
      <c r="D223" s="2">
        <v>1998</v>
      </c>
      <c r="E223" s="2" t="s">
        <v>20</v>
      </c>
      <c r="F223" s="2">
        <v>6</v>
      </c>
      <c r="G223" s="2">
        <v>18.55170028259236</v>
      </c>
      <c r="H223" s="2">
        <v>-72.404747759972864</v>
      </c>
      <c r="I223" s="3" t="str">
        <f>HYPERLINK(CONCATENATE("https://faluhong.users.earthengine.app/view/hispaniola-lc-validation#id=LC222;lat=18.551700282592357;lon=-72.40474775997286;year=1998;bf=40;level=18;"), "landsat_time_series")</f>
        <v>landsat_time_series</v>
      </c>
      <c r="J223" s="3" t="str">
        <f>HYPERLINK(CONCATENATE("https://jstnbraaten.users.earthengine.app/view/landsat-timeseries-explorer#run=true;lon=-72.40474775997286;lat=18.551700282592357;from=01-01;to=12-31;index=NBR;rgb=NIR%2FRED%2FGREEN;chipwidth=1;"), "landsat_chips")</f>
        <v>landsat_chips</v>
      </c>
      <c r="K223" s="3" t="str">
        <f>HYPERLINK(CONCATENATE("https://livingatlas.arcgis.com/wayback/#ext=-72.40574775997287,18.552700282592358,-72.40374775997286,18.550700282592356"), "wayback")</f>
        <v>wayback</v>
      </c>
      <c r="L223" s="2" t="s">
        <v>15</v>
      </c>
      <c r="M223" s="6"/>
      <c r="N223" s="6" t="s">
        <v>15</v>
      </c>
    </row>
    <row r="224" spans="1:14" x14ac:dyDescent="0.35">
      <c r="A224" s="2">
        <v>223</v>
      </c>
      <c r="B224" s="2" t="s">
        <v>427</v>
      </c>
      <c r="C224" s="2" t="s">
        <v>240</v>
      </c>
      <c r="D224" s="2">
        <v>2020</v>
      </c>
      <c r="E224" s="2" t="s">
        <v>20</v>
      </c>
      <c r="F224" s="2">
        <v>7</v>
      </c>
      <c r="G224" s="2">
        <v>19.838973347385391</v>
      </c>
      <c r="H224" s="2">
        <v>-72.516336992423973</v>
      </c>
      <c r="I224" s="3" t="str">
        <f>HYPERLINK(CONCATENATE("https://faluhong.users.earthengine.app/view/hispaniola-lc-validation#id=LC223;lat=19.838973347385394;lon=-72.51633699242397;year=2020;bf=40;level=18;"), "landsat_time_series")</f>
        <v>landsat_time_series</v>
      </c>
      <c r="J224" s="3" t="str">
        <f>HYPERLINK(CONCATENATE("https://jstnbraaten.users.earthengine.app/view/landsat-timeseries-explorer#run=true;lon=-72.51633699242397;lat=19.838973347385394;from=01-01;to=12-31;index=NBR;rgb=NIR%2FRED%2FGREEN;chipwidth=1;"), "landsat_chips")</f>
        <v>landsat_chips</v>
      </c>
      <c r="K224" s="3" t="str">
        <f>HYPERLINK(CONCATENATE("https://livingatlas.arcgis.com/wayback/#ext=-72.51733699242398,19.839973347385396,-72.51533699242397,19.837973347385393"), "wayback")</f>
        <v>wayback</v>
      </c>
      <c r="L224" s="2" t="s">
        <v>11</v>
      </c>
      <c r="M224" s="6" t="b">
        <v>1</v>
      </c>
      <c r="N224" s="6"/>
    </row>
    <row r="225" spans="1:14" x14ac:dyDescent="0.35">
      <c r="A225" s="2">
        <v>224</v>
      </c>
      <c r="B225" s="2" t="s">
        <v>427</v>
      </c>
      <c r="C225" s="2" t="s">
        <v>241</v>
      </c>
      <c r="D225" s="2">
        <v>1999</v>
      </c>
      <c r="E225" s="2" t="s">
        <v>20</v>
      </c>
      <c r="F225" s="2">
        <v>61</v>
      </c>
      <c r="G225" s="2">
        <v>19.545267387228179</v>
      </c>
      <c r="H225" s="2">
        <v>-71.897554640627092</v>
      </c>
      <c r="I225" s="3" t="str">
        <f>HYPERLINK(CONCATENATE("https://faluhong.users.earthengine.app/view/hispaniola-lc-validation#id=LC224;lat=19.545267387228183;lon=-71.89755464062709;year=1999;bf=40;level=18;"), "landsat_time_series")</f>
        <v>landsat_time_series</v>
      </c>
      <c r="J225" s="3" t="str">
        <f>HYPERLINK(CONCATENATE("https://jstnbraaten.users.earthengine.app/view/landsat-timeseries-explorer#run=true;lon=-71.89755464062709;lat=19.545267387228183;from=01-01;to=12-31;index=NBR;rgb=NIR%2FRED%2FGREEN;chipwidth=1;"), "landsat_chips")</f>
        <v>landsat_chips</v>
      </c>
      <c r="K225" s="3" t="str">
        <f>HYPERLINK(CONCATENATE("https://livingatlas.arcgis.com/wayback/#ext=-71.8985546406271,19.546267387228184,-71.89655464062709,19.54426738722818"), "wayback")</f>
        <v>wayback</v>
      </c>
      <c r="L225" s="2" t="s">
        <v>921</v>
      </c>
      <c r="M225" s="6"/>
      <c r="N225" s="6" t="s">
        <v>921</v>
      </c>
    </row>
    <row r="226" spans="1:14" x14ac:dyDescent="0.35">
      <c r="A226" s="2">
        <v>225</v>
      </c>
      <c r="B226" s="2" t="s">
        <v>427</v>
      </c>
      <c r="C226" s="2" t="s">
        <v>242</v>
      </c>
      <c r="D226" s="2">
        <v>2015</v>
      </c>
      <c r="E226" s="2" t="s">
        <v>10</v>
      </c>
      <c r="F226" s="2">
        <v>272</v>
      </c>
      <c r="G226" s="2">
        <v>19.715963311385678</v>
      </c>
      <c r="H226" s="2">
        <v>-70.735458419157766</v>
      </c>
      <c r="I226" s="3" t="str">
        <f>HYPERLINK(CONCATENATE("https://faluhong.users.earthengine.app/view/hispaniola-lc-validation#id=LC225;lat=19.715963311385682;lon=-70.73545841915777;year=2015;bf=40;level=18;"), "landsat_time_series")</f>
        <v>landsat_time_series</v>
      </c>
      <c r="J226" s="3" t="str">
        <f>HYPERLINK(CONCATENATE("https://jstnbraaten.users.earthengine.app/view/landsat-timeseries-explorer#run=true;lon=-70.73545841915777;lat=19.715963311385682;from=01-01;to=12-31;index=NBR;rgb=NIR%2FRED%2FGREEN;chipwidth=1;"), "landsat_chips")</f>
        <v>landsat_chips</v>
      </c>
      <c r="K226" s="3" t="str">
        <f>HYPERLINK(CONCATENATE("https://livingatlas.arcgis.com/wayback/#ext=-70.73645841915777,19.716963311385683,-70.73445841915776,19.71496331138568"), "wayback")</f>
        <v>wayback</v>
      </c>
      <c r="L226" s="2" t="s">
        <v>21</v>
      </c>
      <c r="M226" s="6"/>
      <c r="N226" s="6" t="s">
        <v>21</v>
      </c>
    </row>
    <row r="227" spans="1:14" x14ac:dyDescent="0.35">
      <c r="A227" s="2">
        <v>226</v>
      </c>
      <c r="B227" s="2" t="s">
        <v>427</v>
      </c>
      <c r="C227" s="2" t="s">
        <v>243</v>
      </c>
      <c r="D227" s="2">
        <v>2001</v>
      </c>
      <c r="E227" s="2" t="s">
        <v>10</v>
      </c>
      <c r="F227" s="2">
        <v>1</v>
      </c>
      <c r="G227" s="2">
        <v>18.503126602239639</v>
      </c>
      <c r="H227" s="2">
        <v>-68.386374907632245</v>
      </c>
      <c r="I227" s="3" t="str">
        <f>HYPERLINK(CONCATENATE("https://faluhong.users.earthengine.app/view/hispaniola-lc-validation#id=LC226;lat=18.503126602239636;lon=-68.38637490763224;year=2001;bf=40;level=18;"), "landsat_time_series")</f>
        <v>landsat_time_series</v>
      </c>
      <c r="J227" s="3" t="str">
        <f>HYPERLINK(CONCATENATE("https://jstnbraaten.users.earthengine.app/view/landsat-timeseries-explorer#run=true;lon=-68.38637490763224;lat=18.503126602239636;from=01-01;to=12-31;index=NBR;rgb=NIR%2FRED%2FGREEN;chipwidth=1;"), "landsat_chips")</f>
        <v>landsat_chips</v>
      </c>
      <c r="K227" s="3" t="str">
        <f>HYPERLINK(CONCATENATE("https://livingatlas.arcgis.com/wayback/#ext=-68.38737490763225,18.504126602239637,-68.38537490763224,18.502126602239635"), "wayback")</f>
        <v>wayback</v>
      </c>
      <c r="L227" s="2" t="s">
        <v>921</v>
      </c>
      <c r="M227" s="6"/>
      <c r="N227" s="6" t="s">
        <v>21</v>
      </c>
    </row>
    <row r="228" spans="1:14" x14ac:dyDescent="0.35">
      <c r="A228" s="2">
        <v>227</v>
      </c>
      <c r="B228" s="2" t="s">
        <v>427</v>
      </c>
      <c r="C228" s="2" t="s">
        <v>244</v>
      </c>
      <c r="D228" s="2">
        <v>1999</v>
      </c>
      <c r="E228" s="2" t="s">
        <v>20</v>
      </c>
      <c r="F228" s="2">
        <v>410</v>
      </c>
      <c r="G228" s="2">
        <v>18.579513236431559</v>
      </c>
      <c r="H228" s="2">
        <v>-74.347341413622843</v>
      </c>
      <c r="I228" s="3" t="str">
        <f>HYPERLINK(CONCATENATE("https://faluhong.users.earthengine.app/view/hispaniola-lc-validation#id=LC227;lat=18.579513236431563;lon=-74.34734141362284;year=1999;bf=40;level=18;"), "landsat_time_series")</f>
        <v>landsat_time_series</v>
      </c>
      <c r="J228" s="3" t="str">
        <f>HYPERLINK(CONCATENATE("https://jstnbraaten.users.earthengine.app/view/landsat-timeseries-explorer#run=true;lon=-74.34734141362284;lat=18.579513236431563;from=01-01;to=12-31;index=NBR;rgb=NIR%2FRED%2FGREEN;chipwidth=1;"), "landsat_chips")</f>
        <v>landsat_chips</v>
      </c>
      <c r="K228" s="3" t="str">
        <f>HYPERLINK(CONCATENATE("https://livingatlas.arcgis.com/wayback/#ext=-74.34834141362285,18.580513236431564,-74.34634141362284,18.57851323643156"), "wayback")</f>
        <v>wayback</v>
      </c>
      <c r="L228" s="2" t="s">
        <v>21</v>
      </c>
      <c r="M228" s="6"/>
      <c r="N228" s="6" t="s">
        <v>21</v>
      </c>
    </row>
    <row r="229" spans="1:14" x14ac:dyDescent="0.35">
      <c r="A229" s="2">
        <v>228</v>
      </c>
      <c r="B229" s="2" t="s">
        <v>427</v>
      </c>
      <c r="C229" s="2" t="s">
        <v>245</v>
      </c>
      <c r="D229" s="2">
        <v>2008</v>
      </c>
      <c r="E229" s="2" t="s">
        <v>20</v>
      </c>
      <c r="F229" s="2">
        <v>429</v>
      </c>
      <c r="G229" s="2">
        <v>19.565867730334929</v>
      </c>
      <c r="H229" s="2">
        <v>-72.432053709963498</v>
      </c>
      <c r="I229" s="3" t="str">
        <f>HYPERLINK(CONCATENATE("https://faluhong.users.earthengine.app/view/hispaniola-lc-validation#id=LC228;lat=19.56586773033493;lon=-72.4320537099635;year=2008;bf=40;level=18;"), "landsat_time_series")</f>
        <v>landsat_time_series</v>
      </c>
      <c r="J229" s="3" t="str">
        <f>HYPERLINK(CONCATENATE("https://jstnbraaten.users.earthengine.app/view/landsat-timeseries-explorer#run=true;lon=-72.4320537099635;lat=19.56586773033493;from=01-01;to=12-31;index=NBR;rgb=NIR%2FRED%2FGREEN;chipwidth=1;"), "landsat_chips")</f>
        <v>landsat_chips</v>
      </c>
      <c r="K229" s="3" t="str">
        <f>HYPERLINK(CONCATENATE("https://livingatlas.arcgis.com/wayback/#ext=-72.4330537099635,19.56686773033493,-72.43105370996349,19.564867730334928"), "wayback")</f>
        <v>wayback</v>
      </c>
      <c r="L229" s="2" t="s">
        <v>21</v>
      </c>
      <c r="M229" s="6"/>
      <c r="N229" s="6" t="s">
        <v>21</v>
      </c>
    </row>
    <row r="230" spans="1:14" x14ac:dyDescent="0.35">
      <c r="A230" s="2">
        <v>229</v>
      </c>
      <c r="B230" s="2" t="s">
        <v>427</v>
      </c>
      <c r="C230" s="2" t="s">
        <v>246</v>
      </c>
      <c r="D230" s="2">
        <v>2022</v>
      </c>
      <c r="E230" s="2" t="s">
        <v>10</v>
      </c>
      <c r="F230" s="2">
        <v>13</v>
      </c>
      <c r="G230" s="2">
        <v>18.65786926881945</v>
      </c>
      <c r="H230" s="2">
        <v>-69.846598223255043</v>
      </c>
      <c r="I230" s="3" t="str">
        <f>HYPERLINK(CONCATENATE("https://faluhong.users.earthengine.app/view/hispaniola-lc-validation#id=LC229;lat=18.657869268819447;lon=-69.84659822325504;year=2022;bf=40;level=18;"), "landsat_time_series")</f>
        <v>landsat_time_series</v>
      </c>
      <c r="J230" s="3" t="str">
        <f>HYPERLINK(CONCATENATE("https://jstnbraaten.users.earthengine.app/view/landsat-timeseries-explorer#run=true;lon=-69.84659822325504;lat=18.657869268819447;from=01-01;to=12-31;index=NBR;rgb=NIR%2FRED%2FGREEN;chipwidth=1;"), "landsat_chips")</f>
        <v>landsat_chips</v>
      </c>
      <c r="K230" s="3" t="str">
        <f>HYPERLINK(CONCATENATE("https://livingatlas.arcgis.com/wayback/#ext=-69.84759822325505,18.658869268819448,-69.84559822325504,18.656869268819445"), "wayback")</f>
        <v>wayback</v>
      </c>
      <c r="L230" s="2" t="s">
        <v>921</v>
      </c>
      <c r="M230" s="6"/>
      <c r="N230" s="6" t="s">
        <v>921</v>
      </c>
    </row>
    <row r="231" spans="1:14" x14ac:dyDescent="0.35">
      <c r="A231" s="2">
        <v>230</v>
      </c>
      <c r="B231" s="2" t="s">
        <v>427</v>
      </c>
      <c r="C231" s="2" t="s">
        <v>247</v>
      </c>
      <c r="D231" s="2">
        <v>2021</v>
      </c>
      <c r="E231" s="2" t="s">
        <v>20</v>
      </c>
      <c r="F231" s="2">
        <v>150</v>
      </c>
      <c r="G231" s="2">
        <v>19.646099873255299</v>
      </c>
      <c r="H231" s="2">
        <v>-72.894628769732691</v>
      </c>
      <c r="I231" s="3" t="str">
        <f>HYPERLINK(CONCATENATE("https://faluhong.users.earthengine.app/view/hispaniola-lc-validation#id=LC230;lat=19.646099873255302;lon=-72.89462876973269;year=2021;bf=40;level=18;"), "landsat_time_series")</f>
        <v>landsat_time_series</v>
      </c>
      <c r="J231" s="3" t="str">
        <f>HYPERLINK(CONCATENATE("https://jstnbraaten.users.earthengine.app/view/landsat-timeseries-explorer#run=true;lon=-72.89462876973269;lat=19.646099873255302;from=01-01;to=12-31;index=NBR;rgb=NIR%2FRED%2FGREEN;chipwidth=1;"), "landsat_chips")</f>
        <v>landsat_chips</v>
      </c>
      <c r="K231" s="3" t="str">
        <f>HYPERLINK(CONCATENATE("https://livingatlas.arcgis.com/wayback/#ext=-72.8956287697327,19.647099873255303,-72.89362876973269,19.6450998732553"), "wayback")</f>
        <v>wayback</v>
      </c>
      <c r="L231" s="2" t="s">
        <v>921</v>
      </c>
      <c r="M231" s="6"/>
      <c r="N231" s="6" t="s">
        <v>921</v>
      </c>
    </row>
    <row r="232" spans="1:14" x14ac:dyDescent="0.35">
      <c r="A232" s="2">
        <v>231</v>
      </c>
      <c r="B232" s="2" t="s">
        <v>427</v>
      </c>
      <c r="C232" s="2" t="s">
        <v>248</v>
      </c>
      <c r="D232" s="2">
        <v>2000</v>
      </c>
      <c r="E232" s="2" t="s">
        <v>10</v>
      </c>
      <c r="F232" s="2">
        <v>527</v>
      </c>
      <c r="G232" s="2">
        <v>18.277371759858571</v>
      </c>
      <c r="H232" s="2">
        <v>-71.419861472332855</v>
      </c>
      <c r="I232" s="3" t="str">
        <f>HYPERLINK(CONCATENATE("https://faluhong.users.earthengine.app/view/hispaniola-lc-validation#id=LC231;lat=18.27737175985857;lon=-71.41986147233285;year=2000;bf=40;level=18;"), "landsat_time_series")</f>
        <v>landsat_time_series</v>
      </c>
      <c r="J232" s="3" t="str">
        <f>HYPERLINK(CONCATENATE("https://jstnbraaten.users.earthengine.app/view/landsat-timeseries-explorer#run=true;lon=-71.41986147233285;lat=18.27737175985857;from=01-01;to=12-31;index=NBR;rgb=NIR%2FRED%2FGREEN;chipwidth=1;"), "landsat_chips")</f>
        <v>landsat_chips</v>
      </c>
      <c r="K232" s="3" t="str">
        <f>HYPERLINK(CONCATENATE("https://livingatlas.arcgis.com/wayback/#ext=-71.42086147233286,18.278371759858572,-71.41886147233285,18.27637175985857"), "wayback")</f>
        <v>wayback</v>
      </c>
      <c r="L232" s="2" t="s">
        <v>921</v>
      </c>
      <c r="M232" s="6"/>
      <c r="N232" s="6" t="s">
        <v>21</v>
      </c>
    </row>
    <row r="233" spans="1:14" x14ac:dyDescent="0.35">
      <c r="A233" s="2">
        <v>232</v>
      </c>
      <c r="B233" s="2" t="s">
        <v>427</v>
      </c>
      <c r="C233" s="2" t="s">
        <v>249</v>
      </c>
      <c r="D233" s="2">
        <v>2002</v>
      </c>
      <c r="E233" s="2" t="s">
        <v>10</v>
      </c>
      <c r="F233" s="2">
        <v>340</v>
      </c>
      <c r="G233" s="2">
        <v>18.939665306669539</v>
      </c>
      <c r="H233" s="2">
        <v>-70.014690152967333</v>
      </c>
      <c r="I233" s="3" t="str">
        <f>HYPERLINK(CONCATENATE("https://faluhong.users.earthengine.app/view/hispaniola-lc-validation#id=LC232;lat=18.939665306669543;lon=-70.01469015296733;year=2002;bf=40;level=18;"), "landsat_time_series")</f>
        <v>landsat_time_series</v>
      </c>
      <c r="J233" s="3" t="str">
        <f>HYPERLINK(CONCATENATE("https://jstnbraaten.users.earthengine.app/view/landsat-timeseries-explorer#run=true;lon=-70.01469015296733;lat=18.939665306669543;from=01-01;to=12-31;index=NBR;rgb=NIR%2FRED%2FGREEN;chipwidth=1;"), "landsat_chips")</f>
        <v>landsat_chips</v>
      </c>
      <c r="K233" s="3" t="str">
        <f>HYPERLINK(CONCATENATE("https://livingatlas.arcgis.com/wayback/#ext=-70.01569015296734,18.940665306669544,-70.01369015296733,18.93866530666954"), "wayback")</f>
        <v>wayback</v>
      </c>
      <c r="L233" s="2" t="s">
        <v>921</v>
      </c>
      <c r="M233" s="6"/>
      <c r="N233" s="6" t="s">
        <v>921</v>
      </c>
    </row>
    <row r="234" spans="1:14" x14ac:dyDescent="0.35">
      <c r="A234" s="2">
        <v>233</v>
      </c>
      <c r="B234" s="2" t="s">
        <v>427</v>
      </c>
      <c r="C234" s="2" t="s">
        <v>250</v>
      </c>
      <c r="D234" s="2">
        <v>2015</v>
      </c>
      <c r="E234" s="2" t="s">
        <v>10</v>
      </c>
      <c r="F234" s="2">
        <v>346</v>
      </c>
      <c r="G234" s="2">
        <v>18.62712520054551</v>
      </c>
      <c r="H234" s="2">
        <v>-70.231421433684758</v>
      </c>
      <c r="I234" s="3" t="str">
        <f>HYPERLINK(CONCATENATE("https://faluhong.users.earthengine.app/view/hispaniola-lc-validation#id=LC233;lat=18.62712520054551;lon=-70.23142143368476;year=2015;bf=40;level=18;"), "landsat_time_series")</f>
        <v>landsat_time_series</v>
      </c>
      <c r="J234" s="3" t="str">
        <f>HYPERLINK(CONCATENATE("https://jstnbraaten.users.earthengine.app/view/landsat-timeseries-explorer#run=true;lon=-70.23142143368476;lat=18.62712520054551;from=01-01;to=12-31;index=NBR;rgb=NIR%2FRED%2FGREEN;chipwidth=1;"), "landsat_chips")</f>
        <v>landsat_chips</v>
      </c>
      <c r="K234" s="3" t="str">
        <f>HYPERLINK(CONCATENATE("https://livingatlas.arcgis.com/wayback/#ext=-70.23242143368476,18.62812520054551,-70.23042143368475,18.62612520054551"), "wayback")</f>
        <v>wayback</v>
      </c>
      <c r="L234" s="2" t="s">
        <v>21</v>
      </c>
      <c r="M234" s="6"/>
      <c r="N234" s="6" t="s">
        <v>21</v>
      </c>
    </row>
    <row r="235" spans="1:14" x14ac:dyDescent="0.35">
      <c r="A235" s="2">
        <v>234</v>
      </c>
      <c r="B235" s="2" t="s">
        <v>427</v>
      </c>
      <c r="C235" s="2" t="s">
        <v>251</v>
      </c>
      <c r="D235" s="2">
        <v>2014</v>
      </c>
      <c r="E235" s="2" t="s">
        <v>20</v>
      </c>
      <c r="F235" s="2">
        <v>1578</v>
      </c>
      <c r="G235" s="2">
        <v>18.370897657055121</v>
      </c>
      <c r="H235" s="2">
        <v>-72.064409639670814</v>
      </c>
      <c r="I235" s="3" t="str">
        <f>HYPERLINK(CONCATENATE("https://faluhong.users.earthengine.app/view/hispaniola-lc-validation#id=LC234;lat=18.37089765705512;lon=-72.06440963967081;year=2014;bf=40;level=18;"), "landsat_time_series")</f>
        <v>landsat_time_series</v>
      </c>
      <c r="J235" s="3" t="str">
        <f>HYPERLINK(CONCATENATE("https://jstnbraaten.users.earthengine.app/view/landsat-timeseries-explorer#run=true;lon=-72.06440963967081;lat=18.37089765705512;from=01-01;to=12-31;index=NBR;rgb=NIR%2FRED%2FGREEN;chipwidth=1;"), "landsat_chips")</f>
        <v>landsat_chips</v>
      </c>
      <c r="K235" s="3" t="str">
        <f>HYPERLINK(CONCATENATE("https://livingatlas.arcgis.com/wayback/#ext=-72.06540963967082,18.371897657055122,-72.06340963967081,18.36989765705512"), "wayback")</f>
        <v>wayback</v>
      </c>
      <c r="L235" s="2" t="s">
        <v>921</v>
      </c>
      <c r="M235" s="6"/>
      <c r="N235" s="6" t="s">
        <v>921</v>
      </c>
    </row>
    <row r="236" spans="1:14" x14ac:dyDescent="0.35">
      <c r="A236" s="2">
        <v>235</v>
      </c>
      <c r="B236" s="2" t="s">
        <v>427</v>
      </c>
      <c r="C236" s="2" t="s">
        <v>252</v>
      </c>
      <c r="D236" s="2">
        <v>2008</v>
      </c>
      <c r="E236" s="2" t="s">
        <v>20</v>
      </c>
      <c r="F236" s="2">
        <v>339</v>
      </c>
      <c r="G236" s="2">
        <v>18.479951647946351</v>
      </c>
      <c r="H236" s="2">
        <v>-73.503226637784039</v>
      </c>
      <c r="I236" s="3" t="str">
        <f>HYPERLINK(CONCATENATE("https://faluhong.users.earthengine.app/view/hispaniola-lc-validation#id=LC235;lat=18.479951647946347;lon=-73.50322663778404;year=2008;bf=40;level=18;"), "landsat_time_series")</f>
        <v>landsat_time_series</v>
      </c>
      <c r="J236" s="3" t="str">
        <f>HYPERLINK(CONCATENATE("https://jstnbraaten.users.earthengine.app/view/landsat-timeseries-explorer#run=true;lon=-73.50322663778404;lat=18.479951647946347;from=01-01;to=12-31;index=NBR;rgb=NIR%2FRED%2FGREEN;chipwidth=1;"), "landsat_chips")</f>
        <v>landsat_chips</v>
      </c>
      <c r="K236" s="3" t="str">
        <f>HYPERLINK(CONCATENATE("https://livingatlas.arcgis.com/wayback/#ext=-73.50422663778404,18.48095164794635,-73.50222663778403,18.478951647946346"), "wayback")</f>
        <v>wayback</v>
      </c>
      <c r="L236" s="2" t="s">
        <v>21</v>
      </c>
      <c r="M236" s="6" t="b">
        <v>1</v>
      </c>
      <c r="N236" s="6" t="s">
        <v>13</v>
      </c>
    </row>
    <row r="237" spans="1:14" x14ac:dyDescent="0.35">
      <c r="A237" s="2">
        <v>236</v>
      </c>
      <c r="B237" s="2" t="s">
        <v>427</v>
      </c>
      <c r="C237" s="2" t="s">
        <v>253</v>
      </c>
      <c r="D237" s="2">
        <v>2009</v>
      </c>
      <c r="E237" s="2" t="s">
        <v>20</v>
      </c>
      <c r="F237" s="2">
        <v>3</v>
      </c>
      <c r="G237" s="2">
        <v>19.35608884535457</v>
      </c>
      <c r="H237" s="2">
        <v>-72.752417670111029</v>
      </c>
      <c r="I237" s="3" t="str">
        <f>HYPERLINK(CONCATENATE("https://faluhong.users.earthengine.app/view/hispaniola-lc-validation#id=LC236;lat=19.356088845354567;lon=-72.75241767011103;year=2009;bf=40;level=18;"), "landsat_time_series")</f>
        <v>landsat_time_series</v>
      </c>
      <c r="J237" s="3" t="str">
        <f>HYPERLINK(CONCATENATE("https://jstnbraaten.users.earthengine.app/view/landsat-timeseries-explorer#run=true;lon=-72.75241767011103;lat=19.356088845354567;from=01-01;to=12-31;index=NBR;rgb=NIR%2FRED%2FGREEN;chipwidth=1;"), "landsat_chips")</f>
        <v>landsat_chips</v>
      </c>
      <c r="K237" s="3" t="str">
        <f>HYPERLINK(CONCATENATE("https://livingatlas.arcgis.com/wayback/#ext=-72.75341767011103,19.357088845354568,-72.75141767011102,19.355088845354565"), "wayback")</f>
        <v>wayback</v>
      </c>
      <c r="L237" s="2" t="s">
        <v>24</v>
      </c>
      <c r="M237" s="6"/>
      <c r="N237" s="6" t="s">
        <v>24</v>
      </c>
    </row>
    <row r="238" spans="1:14" x14ac:dyDescent="0.35">
      <c r="A238" s="2">
        <v>237</v>
      </c>
      <c r="B238" s="2" t="s">
        <v>427</v>
      </c>
      <c r="C238" s="2" t="s">
        <v>254</v>
      </c>
      <c r="D238" s="2">
        <v>2017</v>
      </c>
      <c r="E238" s="2" t="s">
        <v>10</v>
      </c>
      <c r="F238" s="2">
        <v>2064</v>
      </c>
      <c r="G238" s="2">
        <v>18.63773754002337</v>
      </c>
      <c r="H238" s="2">
        <v>-71.508426427961382</v>
      </c>
      <c r="I238" s="3" t="str">
        <f>HYPERLINK(CONCATENATE("https://faluhong.users.earthengine.app/view/hispaniola-lc-validation#id=LC237;lat=18.63773754002337;lon=-71.50842642796138;year=2017;bf=40;level=18;"), "landsat_time_series")</f>
        <v>landsat_time_series</v>
      </c>
      <c r="J238" s="3" t="str">
        <f>HYPERLINK(CONCATENATE("https://jstnbraaten.users.earthengine.app/view/landsat-timeseries-explorer#run=true;lon=-71.50842642796138;lat=18.63773754002337;from=01-01;to=12-31;index=NBR;rgb=NIR%2FRED%2FGREEN;chipwidth=1;"), "landsat_chips")</f>
        <v>landsat_chips</v>
      </c>
      <c r="K238" s="3" t="str">
        <f>HYPERLINK(CONCATENATE("https://livingatlas.arcgis.com/wayback/#ext=-71.50942642796139,18.63873754002337,-71.50742642796138,18.63673754002337"), "wayback")</f>
        <v>wayback</v>
      </c>
      <c r="L238" s="2" t="s">
        <v>38</v>
      </c>
      <c r="M238" s="6"/>
      <c r="N238" s="6" t="s">
        <v>38</v>
      </c>
    </row>
    <row r="239" spans="1:14" x14ac:dyDescent="0.35">
      <c r="A239" s="2">
        <v>238</v>
      </c>
      <c r="B239" s="2" t="s">
        <v>427</v>
      </c>
      <c r="C239" s="2" t="s">
        <v>255</v>
      </c>
      <c r="D239" s="2">
        <v>2008</v>
      </c>
      <c r="E239" s="2" t="s">
        <v>10</v>
      </c>
      <c r="F239" s="2">
        <v>417</v>
      </c>
      <c r="G239" s="2">
        <v>18.713362490202481</v>
      </c>
      <c r="H239" s="2">
        <v>-71.004537236414237</v>
      </c>
      <c r="I239" s="3" t="str">
        <f>HYPERLINK(CONCATENATE("https://faluhong.users.earthengine.app/view/hispaniola-lc-validation#id=LC238;lat=18.71336249020248;lon=-71.00453723641424;year=2008;bf=40;level=18;"), "landsat_time_series")</f>
        <v>landsat_time_series</v>
      </c>
      <c r="J239" s="3" t="str">
        <f>HYPERLINK(CONCATENATE("https://jstnbraaten.users.earthengine.app/view/landsat-timeseries-explorer#run=true;lon=-71.00453723641424;lat=18.71336249020248;from=01-01;to=12-31;index=NBR;rgb=NIR%2FRED%2FGREEN;chipwidth=1;"), "landsat_chips")</f>
        <v>landsat_chips</v>
      </c>
      <c r="K239" s="3" t="str">
        <f>HYPERLINK(CONCATENATE("https://livingatlas.arcgis.com/wayback/#ext=-71.00553723641424,18.714362490202483,-71.00353723641423,18.71236249020248"), "wayback")</f>
        <v>wayback</v>
      </c>
      <c r="L239" s="2" t="s">
        <v>13</v>
      </c>
      <c r="M239" s="6" t="b">
        <v>1</v>
      </c>
      <c r="N239" s="6"/>
    </row>
    <row r="240" spans="1:14" x14ac:dyDescent="0.35">
      <c r="A240" s="2">
        <v>239</v>
      </c>
      <c r="B240" s="2" t="s">
        <v>427</v>
      </c>
      <c r="C240" s="2" t="s">
        <v>256</v>
      </c>
      <c r="D240" s="2">
        <v>2008</v>
      </c>
      <c r="E240" s="2" t="s">
        <v>10</v>
      </c>
      <c r="F240" s="2">
        <v>562</v>
      </c>
      <c r="G240" s="2">
        <v>18.742439329935468</v>
      </c>
      <c r="H240" s="2">
        <v>-70.981255463243301</v>
      </c>
      <c r="I240" s="3" t="str">
        <f>HYPERLINK(CONCATENATE("https://faluhong.users.earthengine.app/view/hispaniola-lc-validation#id=LC239;lat=18.74243932993547;lon=-70.9812554632433;year=2008;bf=40;level=18;"), "landsat_time_series")</f>
        <v>landsat_time_series</v>
      </c>
      <c r="J240" s="3" t="str">
        <f>HYPERLINK(CONCATENATE("https://jstnbraaten.users.earthengine.app/view/landsat-timeseries-explorer#run=true;lon=-70.9812554632433;lat=18.74243932993547;from=01-01;to=12-31;index=NBR;rgb=NIR%2FRED%2FGREEN;chipwidth=1;"), "landsat_chips")</f>
        <v>landsat_chips</v>
      </c>
      <c r="K240" s="3" t="str">
        <f>HYPERLINK(CONCATENATE("https://livingatlas.arcgis.com/wayback/#ext=-70.9822554632433,18.74343932993547,-70.9802554632433,18.741439329935467"), "wayback")</f>
        <v>wayback</v>
      </c>
      <c r="L240" s="2" t="s">
        <v>21</v>
      </c>
      <c r="M240" s="6"/>
      <c r="N240" s="6" t="s">
        <v>21</v>
      </c>
    </row>
    <row r="241" spans="1:14" x14ac:dyDescent="0.35">
      <c r="A241" s="2">
        <v>240</v>
      </c>
      <c r="B241" s="2" t="s">
        <v>427</v>
      </c>
      <c r="C241" s="2" t="s">
        <v>257</v>
      </c>
      <c r="D241" s="2">
        <v>2010</v>
      </c>
      <c r="E241" s="2" t="s">
        <v>10</v>
      </c>
      <c r="F241" s="2">
        <v>283</v>
      </c>
      <c r="G241" s="2">
        <v>19.59062007020772</v>
      </c>
      <c r="H241" s="2">
        <v>-69.965752659935774</v>
      </c>
      <c r="I241" s="3" t="str">
        <f>HYPERLINK(CONCATENATE("https://faluhong.users.earthengine.app/view/hispaniola-lc-validation#id=LC240;lat=19.590620070207724;lon=-69.96575265993577;year=2010;bf=40;level=18;"), "landsat_time_series")</f>
        <v>landsat_time_series</v>
      </c>
      <c r="J241" s="3" t="str">
        <f>HYPERLINK(CONCATENATE("https://jstnbraaten.users.earthengine.app/view/landsat-timeseries-explorer#run=true;lon=-69.96575265993577;lat=19.590620070207724;from=01-01;to=12-31;index=NBR;rgb=NIR%2FRED%2FGREEN;chipwidth=1;"), "landsat_chips")</f>
        <v>landsat_chips</v>
      </c>
      <c r="K241" s="3" t="str">
        <f>HYPERLINK(CONCATENATE("https://livingatlas.arcgis.com/wayback/#ext=-69.96675265993578,19.591620070207725,-69.96475265993577,19.589620070207722"), "wayback")</f>
        <v>wayback</v>
      </c>
      <c r="L241" s="2" t="s">
        <v>921</v>
      </c>
      <c r="M241" s="6" t="b">
        <v>1</v>
      </c>
      <c r="N241" s="6" t="s">
        <v>921</v>
      </c>
    </row>
    <row r="242" spans="1:14" x14ac:dyDescent="0.35">
      <c r="A242" s="2">
        <v>241</v>
      </c>
      <c r="B242" s="2" t="s">
        <v>427</v>
      </c>
      <c r="C242" s="2" t="s">
        <v>258</v>
      </c>
      <c r="D242" s="2">
        <v>1999</v>
      </c>
      <c r="E242" s="2" t="s">
        <v>20</v>
      </c>
      <c r="F242" s="2">
        <v>47</v>
      </c>
      <c r="G242" s="2">
        <v>18.2257939380181</v>
      </c>
      <c r="H242" s="2">
        <v>-73.652829513687664</v>
      </c>
      <c r="I242" s="3" t="str">
        <f>HYPERLINK(CONCATENATE("https://faluhong.users.earthengine.app/view/hispaniola-lc-validation#id=LC241;lat=18.225793938018096;lon=-73.65282951368766;year=1999;bf=40;level=18;"), "landsat_time_series")</f>
        <v>landsat_time_series</v>
      </c>
      <c r="J242" s="3" t="str">
        <f>HYPERLINK(CONCATENATE("https://jstnbraaten.users.earthengine.app/view/landsat-timeseries-explorer#run=true;lon=-73.65282951368766;lat=18.225793938018096;from=01-01;to=12-31;index=NBR;rgb=NIR%2FRED%2FGREEN;chipwidth=1;"), "landsat_chips")</f>
        <v>landsat_chips</v>
      </c>
      <c r="K242" s="3" t="str">
        <f>HYPERLINK(CONCATENATE("https://livingatlas.arcgis.com/wayback/#ext=-73.65382951368767,18.226793938018098,-73.65182951368766,18.224793938018095"), "wayback")</f>
        <v>wayback</v>
      </c>
      <c r="L242" s="2" t="s">
        <v>921</v>
      </c>
      <c r="M242" s="6"/>
      <c r="N242" s="6" t="s">
        <v>921</v>
      </c>
    </row>
    <row r="243" spans="1:14" x14ac:dyDescent="0.35">
      <c r="A243" s="2">
        <v>242</v>
      </c>
      <c r="B243" s="2" t="s">
        <v>427</v>
      </c>
      <c r="C243" s="2" t="s">
        <v>259</v>
      </c>
      <c r="D243" s="2">
        <v>2004</v>
      </c>
      <c r="E243" s="2" t="s">
        <v>10</v>
      </c>
      <c r="F243" s="2">
        <v>62</v>
      </c>
      <c r="G243" s="2">
        <v>18.816063686390439</v>
      </c>
      <c r="H243" s="2">
        <v>-69.854585164661444</v>
      </c>
      <c r="I243" s="3" t="str">
        <f>HYPERLINK(CONCATENATE("https://faluhong.users.earthengine.app/view/hispaniola-lc-validation#id=LC242;lat=18.81606368639044;lon=-69.85458516466144;year=2004;bf=40;level=18;"), "landsat_time_series")</f>
        <v>landsat_time_series</v>
      </c>
      <c r="J243" s="3" t="str">
        <f>HYPERLINK(CONCATENATE("https://jstnbraaten.users.earthengine.app/view/landsat-timeseries-explorer#run=true;lon=-69.85458516466144;lat=18.81606368639044;from=01-01;to=12-31;index=NBR;rgb=NIR%2FRED%2FGREEN;chipwidth=1;"), "landsat_chips")</f>
        <v>landsat_chips</v>
      </c>
      <c r="K243" s="3" t="str">
        <f>HYPERLINK(CONCATENATE("https://livingatlas.arcgis.com/wayback/#ext=-69.85558516466145,18.81706368639044,-69.85358516466144,18.815063686390438"), "wayback")</f>
        <v>wayback</v>
      </c>
      <c r="L243" s="2" t="s">
        <v>11</v>
      </c>
      <c r="M243" s="6"/>
      <c r="N243" s="6" t="s">
        <v>11</v>
      </c>
    </row>
    <row r="244" spans="1:14" x14ac:dyDescent="0.35">
      <c r="A244" s="2">
        <v>243</v>
      </c>
      <c r="B244" s="2" t="s">
        <v>427</v>
      </c>
      <c r="C244" s="2" t="s">
        <v>260</v>
      </c>
      <c r="D244" s="2">
        <v>1996</v>
      </c>
      <c r="E244" s="2" t="s">
        <v>10</v>
      </c>
      <c r="F244" s="2">
        <v>852</v>
      </c>
      <c r="G244" s="2">
        <v>19.663564734787059</v>
      </c>
      <c r="H244" s="2">
        <v>-70.920984953835273</v>
      </c>
      <c r="I244" s="3" t="str">
        <f>HYPERLINK(CONCATENATE("https://faluhong.users.earthengine.app/view/hispaniola-lc-validation#id=LC243;lat=19.663564734787062;lon=-70.92098495383527;year=1996;bf=40;level=18;"), "landsat_time_series")</f>
        <v>landsat_time_series</v>
      </c>
      <c r="J244" s="3" t="str">
        <f>HYPERLINK(CONCATENATE("https://jstnbraaten.users.earthengine.app/view/landsat-timeseries-explorer#run=true;lon=-70.92098495383527;lat=19.663564734787062;from=01-01;to=12-31;index=NBR;rgb=NIR%2FRED%2FGREEN;chipwidth=1;"), "landsat_chips")</f>
        <v>landsat_chips</v>
      </c>
      <c r="K244" s="3" t="str">
        <f>HYPERLINK(CONCATENATE("https://livingatlas.arcgis.com/wayback/#ext=-70.92198495383528,19.664564734787064,-70.91998495383527,19.66256473478706"), "wayback")</f>
        <v>wayback</v>
      </c>
      <c r="L244" s="2" t="s">
        <v>21</v>
      </c>
      <c r="M244" s="6"/>
      <c r="N244" s="6" t="s">
        <v>921</v>
      </c>
    </row>
    <row r="245" spans="1:14" x14ac:dyDescent="0.35">
      <c r="A245" s="2">
        <v>244</v>
      </c>
      <c r="B245" s="2" t="s">
        <v>427</v>
      </c>
      <c r="C245" s="2" t="s">
        <v>261</v>
      </c>
      <c r="D245" s="2">
        <v>2008</v>
      </c>
      <c r="E245" s="2" t="s">
        <v>10</v>
      </c>
      <c r="F245" s="2">
        <v>2</v>
      </c>
      <c r="G245" s="2">
        <v>18.612982069890201</v>
      </c>
      <c r="H245" s="2">
        <v>-68.338898867944295</v>
      </c>
      <c r="I245" s="3" t="str">
        <f>HYPERLINK(CONCATENATE("https://faluhong.users.earthengine.app/view/hispaniola-lc-validation#id=LC244;lat=18.6129820698902;lon=-68.3388988679443;year=2008;bf=40;level=18;"), "landsat_time_series")</f>
        <v>landsat_time_series</v>
      </c>
      <c r="J245" s="3" t="str">
        <f>HYPERLINK(CONCATENATE("https://jstnbraaten.users.earthengine.app/view/landsat-timeseries-explorer#run=true;lon=-68.3388988679443;lat=18.6129820698902;from=01-01;to=12-31;index=NBR;rgb=NIR%2FRED%2FGREEN;chipwidth=1;"), "landsat_chips")</f>
        <v>landsat_chips</v>
      </c>
      <c r="K245" s="3" t="str">
        <f>HYPERLINK(CONCATENATE("https://livingatlas.arcgis.com/wayback/#ext=-68.3398988679443,18.613982069890202,-68.33789886794429,18.6119820698902"), "wayback")</f>
        <v>wayback</v>
      </c>
      <c r="L245" s="2" t="s">
        <v>18</v>
      </c>
      <c r="M245" s="6"/>
      <c r="N245" s="6" t="s">
        <v>21</v>
      </c>
    </row>
    <row r="246" spans="1:14" x14ac:dyDescent="0.35">
      <c r="A246" s="2">
        <v>245</v>
      </c>
      <c r="B246" s="2" t="s">
        <v>427</v>
      </c>
      <c r="C246" s="2" t="s">
        <v>262</v>
      </c>
      <c r="D246" s="2">
        <v>2003</v>
      </c>
      <c r="E246" s="2" t="s">
        <v>10</v>
      </c>
      <c r="F246" s="2">
        <v>13</v>
      </c>
      <c r="G246" s="2">
        <v>19.9111468088505</v>
      </c>
      <c r="H246" s="2">
        <v>-70.963301620604227</v>
      </c>
      <c r="I246" s="3" t="str">
        <f>HYPERLINK(CONCATENATE("https://faluhong.users.earthengine.app/view/hispaniola-lc-validation#id=LC245;lat=19.9111468088505;lon=-70.96330162060423;year=2003;bf=40;level=18;"), "landsat_time_series")</f>
        <v>landsat_time_series</v>
      </c>
      <c r="J246" s="3" t="str">
        <f>HYPERLINK(CONCATENATE("https://jstnbraaten.users.earthengine.app/view/landsat-timeseries-explorer#run=true;lon=-70.96330162060423;lat=19.9111468088505;from=01-01;to=12-31;index=NBR;rgb=NIR%2FRED%2FGREEN;chipwidth=1;"), "landsat_chips")</f>
        <v>landsat_chips</v>
      </c>
      <c r="K246" s="3" t="str">
        <f>HYPERLINK(CONCATENATE("https://livingatlas.arcgis.com/wayback/#ext=-70.96430162060423,19.9121468088505,-70.96230162060422,19.9101468088505"), "wayback")</f>
        <v>wayback</v>
      </c>
      <c r="L246" s="2" t="s">
        <v>921</v>
      </c>
      <c r="M246" s="6"/>
      <c r="N246" s="6" t="s">
        <v>921</v>
      </c>
    </row>
    <row r="247" spans="1:14" x14ac:dyDescent="0.35">
      <c r="A247" s="2">
        <v>246</v>
      </c>
      <c r="B247" s="2" t="s">
        <v>427</v>
      </c>
      <c r="C247" s="2" t="s">
        <v>263</v>
      </c>
      <c r="D247" s="2">
        <v>1998</v>
      </c>
      <c r="E247" s="2" t="s">
        <v>20</v>
      </c>
      <c r="F247" s="2">
        <v>814</v>
      </c>
      <c r="G247" s="2">
        <v>19.214081310844211</v>
      </c>
      <c r="H247" s="2">
        <v>-71.746985702959606</v>
      </c>
      <c r="I247" s="3" t="str">
        <f>HYPERLINK(CONCATENATE("https://faluhong.users.earthengine.app/view/hispaniola-lc-validation#id=LC246;lat=19.214081310844215;lon=-71.7469857029596;year=1998;bf=40;level=18;"), "landsat_time_series")</f>
        <v>landsat_time_series</v>
      </c>
      <c r="J247" s="3" t="str">
        <f>HYPERLINK(CONCATENATE("https://jstnbraaten.users.earthengine.app/view/landsat-timeseries-explorer#run=true;lon=-71.7469857029596;lat=19.214081310844215;from=01-01;to=12-31;index=NBR;rgb=NIR%2FRED%2FGREEN;chipwidth=1;"), "landsat_chips")</f>
        <v>landsat_chips</v>
      </c>
      <c r="K247" s="3" t="str">
        <f>HYPERLINK(CONCATENATE("https://livingatlas.arcgis.com/wayback/#ext=-71.74798570295961,19.215081310844216,-71.7459857029596,19.213081310844213"), "wayback")</f>
        <v>wayback</v>
      </c>
      <c r="L247" s="2" t="s">
        <v>921</v>
      </c>
      <c r="M247" s="6"/>
      <c r="N247" s="6" t="s">
        <v>921</v>
      </c>
    </row>
    <row r="248" spans="1:14" x14ac:dyDescent="0.35">
      <c r="A248" s="2">
        <v>247</v>
      </c>
      <c r="B248" s="2" t="s">
        <v>427</v>
      </c>
      <c r="C248" s="2" t="s">
        <v>264</v>
      </c>
      <c r="D248" s="2">
        <v>2009</v>
      </c>
      <c r="E248" s="2" t="s">
        <v>10</v>
      </c>
      <c r="F248" s="2">
        <v>238</v>
      </c>
      <c r="G248" s="2">
        <v>19.596008486292671</v>
      </c>
      <c r="H248" s="2">
        <v>-70.591837145839875</v>
      </c>
      <c r="I248" s="3" t="str">
        <f>HYPERLINK(CONCATENATE("https://faluhong.users.earthengine.app/view/hispaniola-lc-validation#id=LC247;lat=19.59600848629267;lon=-70.59183714583988;year=2009;bf=40;level=18;"), "landsat_time_series")</f>
        <v>landsat_time_series</v>
      </c>
      <c r="J248" s="3" t="str">
        <f>HYPERLINK(CONCATENATE("https://jstnbraaten.users.earthengine.app/view/landsat-timeseries-explorer#run=true;lon=-70.59183714583988;lat=19.59600848629267;from=01-01;to=12-31;index=NBR;rgb=NIR%2FRED%2FGREEN;chipwidth=1;"), "landsat_chips")</f>
        <v>landsat_chips</v>
      </c>
      <c r="K248" s="3" t="str">
        <f>HYPERLINK(CONCATENATE("https://livingatlas.arcgis.com/wayback/#ext=-70.59283714583988,19.597008486292673,-70.59083714583987,19.59500848629267"), "wayback")</f>
        <v>wayback</v>
      </c>
      <c r="L248" s="2" t="s">
        <v>21</v>
      </c>
      <c r="M248" s="6" t="b">
        <v>1</v>
      </c>
      <c r="N248" s="6"/>
    </row>
    <row r="249" spans="1:14" x14ac:dyDescent="0.35">
      <c r="A249" s="2">
        <v>248</v>
      </c>
      <c r="B249" s="2" t="s">
        <v>427</v>
      </c>
      <c r="C249" s="2" t="s">
        <v>265</v>
      </c>
      <c r="D249" s="2">
        <v>2004</v>
      </c>
      <c r="E249" s="2" t="s">
        <v>10</v>
      </c>
      <c r="F249" s="2">
        <v>29</v>
      </c>
      <c r="G249" s="2">
        <v>18.47607039134552</v>
      </c>
      <c r="H249" s="2">
        <v>-69.783939859255128</v>
      </c>
      <c r="I249" s="3" t="str">
        <f>HYPERLINK(CONCATENATE("https://faluhong.users.earthengine.app/view/hispaniola-lc-validation#id=LC248;lat=18.476070391345516;lon=-69.78393985925513;year=2004;bf=40;level=18;"), "landsat_time_series")</f>
        <v>landsat_time_series</v>
      </c>
      <c r="J249" s="3" t="str">
        <f>HYPERLINK(CONCATENATE("https://jstnbraaten.users.earthengine.app/view/landsat-timeseries-explorer#run=true;lon=-69.78393985925513;lat=18.476070391345516;from=01-01;to=12-31;index=NBR;rgb=NIR%2FRED%2FGREEN;chipwidth=1;"), "landsat_chips")</f>
        <v>landsat_chips</v>
      </c>
      <c r="K249" s="3" t="str">
        <f>HYPERLINK(CONCATENATE("https://livingatlas.arcgis.com/wayback/#ext=-69.78493985925513,18.477070391345517,-69.78293985925512,18.475070391345515"), "wayback")</f>
        <v>wayback</v>
      </c>
      <c r="L249" s="2" t="s">
        <v>13</v>
      </c>
      <c r="M249" s="6"/>
      <c r="N249" s="6" t="s">
        <v>13</v>
      </c>
    </row>
    <row r="250" spans="1:14" x14ac:dyDescent="0.35">
      <c r="A250" s="2">
        <v>249</v>
      </c>
      <c r="B250" s="2" t="s">
        <v>427</v>
      </c>
      <c r="C250" s="2" t="s">
        <v>266</v>
      </c>
      <c r="D250" s="2">
        <v>1998</v>
      </c>
      <c r="E250" s="2" t="s">
        <v>10</v>
      </c>
      <c r="F250" s="2">
        <v>5</v>
      </c>
      <c r="G250" s="2">
        <v>19.792130878567121</v>
      </c>
      <c r="H250" s="2">
        <v>-71.652294207174208</v>
      </c>
      <c r="I250" s="3" t="str">
        <f>HYPERLINK(CONCATENATE("https://faluhong.users.earthengine.app/view/hispaniola-lc-validation#id=LC249;lat=19.792130878567118;lon=-71.65229420717421;year=1998;bf=40;level=18;"), "landsat_time_series")</f>
        <v>landsat_time_series</v>
      </c>
      <c r="J250" s="3" t="str">
        <f>HYPERLINK(CONCATENATE("https://jstnbraaten.users.earthengine.app/view/landsat-timeseries-explorer#run=true;lon=-71.65229420717421;lat=19.792130878567118;from=01-01;to=12-31;index=NBR;rgb=NIR%2FRED%2FGREEN;chipwidth=1;"), "landsat_chips")</f>
        <v>landsat_chips</v>
      </c>
      <c r="K250" s="3" t="str">
        <f>HYPERLINK(CONCATENATE("https://livingatlas.arcgis.com/wayback/#ext=-71.65329420717421,19.79313087856712,-71.6512942071742,19.791130878567117"), "wayback")</f>
        <v>wayback</v>
      </c>
      <c r="L250" s="2" t="s">
        <v>921</v>
      </c>
      <c r="M250" s="6"/>
      <c r="N250" s="6" t="s">
        <v>921</v>
      </c>
    </row>
    <row r="251" spans="1:14" x14ac:dyDescent="0.35">
      <c r="A251" s="2">
        <v>250</v>
      </c>
      <c r="B251" s="2" t="s">
        <v>427</v>
      </c>
      <c r="C251" s="2" t="s">
        <v>267</v>
      </c>
      <c r="D251" s="2">
        <v>2003</v>
      </c>
      <c r="E251" s="2" t="s">
        <v>10</v>
      </c>
      <c r="F251" s="2">
        <v>1819</v>
      </c>
      <c r="G251" s="2">
        <v>19.002423945808641</v>
      </c>
      <c r="H251" s="2">
        <v>-70.910573873188142</v>
      </c>
      <c r="I251" s="3" t="str">
        <f>HYPERLINK(CONCATENATE("https://faluhong.users.earthengine.app/view/hispaniola-lc-validation#id=LC250;lat=19.002423945808637;lon=-70.91057387318814;year=2003;bf=40;level=18;"), "landsat_time_series")</f>
        <v>landsat_time_series</v>
      </c>
      <c r="J251" s="3" t="str">
        <f>HYPERLINK(CONCATENATE("https://jstnbraaten.users.earthengine.app/view/landsat-timeseries-explorer#run=true;lon=-70.91057387318814;lat=19.002423945808637;from=01-01;to=12-31;index=NBR;rgb=NIR%2FRED%2FGREEN;chipwidth=1;"), "landsat_chips")</f>
        <v>landsat_chips</v>
      </c>
      <c r="K251" s="3" t="str">
        <f>HYPERLINK(CONCATENATE("https://livingatlas.arcgis.com/wayback/#ext=-70.91157387318815,19.00342394580864,-70.90957387318814,19.001423945808636"), "wayback")</f>
        <v>wayback</v>
      </c>
      <c r="L251" s="2" t="s">
        <v>38</v>
      </c>
      <c r="M251" s="6"/>
      <c r="N251" s="6" t="s">
        <v>21</v>
      </c>
    </row>
    <row r="252" spans="1:14" x14ac:dyDescent="0.35">
      <c r="A252" s="2">
        <v>251</v>
      </c>
      <c r="B252" s="2" t="s">
        <v>427</v>
      </c>
      <c r="C252" s="2" t="s">
        <v>268</v>
      </c>
      <c r="D252" s="2">
        <v>2012</v>
      </c>
      <c r="E252" s="2" t="s">
        <v>10</v>
      </c>
      <c r="F252" s="2">
        <v>772</v>
      </c>
      <c r="G252" s="2">
        <v>19.609283366170491</v>
      </c>
      <c r="H252" s="2">
        <v>-70.749284636326266</v>
      </c>
      <c r="I252" s="3" t="str">
        <f>HYPERLINK(CONCATENATE("https://faluhong.users.earthengine.app/view/hispaniola-lc-validation#id=LC251;lat=19.609283366170494;lon=-70.74928463632627;year=2012;bf=40;level=18;"), "landsat_time_series")</f>
        <v>landsat_time_series</v>
      </c>
      <c r="J252" s="3" t="str">
        <f>HYPERLINK(CONCATENATE("https://jstnbraaten.users.earthengine.app/view/landsat-timeseries-explorer#run=true;lon=-70.74928463632627;lat=19.609283366170494;from=01-01;to=12-31;index=NBR;rgb=NIR%2FRED%2FGREEN;chipwidth=1;"), "landsat_chips")</f>
        <v>landsat_chips</v>
      </c>
      <c r="K252" s="3" t="str">
        <f>HYPERLINK(CONCATENATE("https://livingatlas.arcgis.com/wayback/#ext=-70.75028463632627,19.610283366170496,-70.74828463632626,19.608283366170493"), "wayback")</f>
        <v>wayback</v>
      </c>
      <c r="L252" s="2" t="s">
        <v>21</v>
      </c>
      <c r="M252" s="6"/>
      <c r="N252" s="6" t="s">
        <v>13</v>
      </c>
    </row>
    <row r="253" spans="1:14" x14ac:dyDescent="0.35">
      <c r="A253" s="2">
        <v>252</v>
      </c>
      <c r="B253" s="2" t="s">
        <v>427</v>
      </c>
      <c r="C253" s="2" t="s">
        <v>269</v>
      </c>
      <c r="D253" s="2">
        <v>2001</v>
      </c>
      <c r="E253" s="2" t="s">
        <v>10</v>
      </c>
      <c r="F253" s="2">
        <v>1555</v>
      </c>
      <c r="G253" s="2">
        <v>19.178860461762209</v>
      </c>
      <c r="H253" s="2">
        <v>-71.008192100183109</v>
      </c>
      <c r="I253" s="3" t="str">
        <f>HYPERLINK(CONCATENATE("https://faluhong.users.earthengine.app/view/hispaniola-lc-validation#id=LC252;lat=19.178860461762213;lon=-71.00819210018311;year=2001;bf=40;level=18;"), "landsat_time_series")</f>
        <v>landsat_time_series</v>
      </c>
      <c r="J253" s="3" t="str">
        <f>HYPERLINK(CONCATENATE("https://jstnbraaten.users.earthengine.app/view/landsat-timeseries-explorer#run=true;lon=-71.00819210018311;lat=19.178860461762213;from=01-01;to=12-31;index=NBR;rgb=NIR%2FRED%2FGREEN;chipwidth=1;"), "landsat_chips")</f>
        <v>landsat_chips</v>
      </c>
      <c r="K253" s="3" t="str">
        <f>HYPERLINK(CONCATENATE("https://livingatlas.arcgis.com/wayback/#ext=-71.00919210018311,19.179860461762214,-71.0071921001831,19.17786046176221"), "wayback")</f>
        <v>wayback</v>
      </c>
      <c r="L253" s="2" t="s">
        <v>38</v>
      </c>
      <c r="M253" s="6"/>
      <c r="N253" s="6" t="s">
        <v>38</v>
      </c>
    </row>
    <row r="254" spans="1:14" x14ac:dyDescent="0.35">
      <c r="A254" s="2">
        <v>253</v>
      </c>
      <c r="B254" s="2" t="s">
        <v>427</v>
      </c>
      <c r="C254" s="2" t="s">
        <v>270</v>
      </c>
      <c r="D254" s="2">
        <v>2010</v>
      </c>
      <c r="E254" s="2" t="s">
        <v>10</v>
      </c>
      <c r="F254" s="2">
        <v>408</v>
      </c>
      <c r="G254" s="2">
        <v>18.205006646642051</v>
      </c>
      <c r="H254" s="2">
        <v>-71.219548663126162</v>
      </c>
      <c r="I254" s="3" t="str">
        <f>HYPERLINK(CONCATENATE("https://faluhong.users.earthengine.app/view/hispaniola-lc-validation#id=LC253;lat=18.20500664664205;lon=-71.21954866312616;year=2010;bf=40;level=18;"), "landsat_time_series")</f>
        <v>landsat_time_series</v>
      </c>
      <c r="J254" s="3" t="str">
        <f>HYPERLINK(CONCATENATE("https://jstnbraaten.users.earthengine.app/view/landsat-timeseries-explorer#run=true;lon=-71.21954866312616;lat=18.20500664664205;from=01-01;to=12-31;index=NBR;rgb=NIR%2FRED%2FGREEN;chipwidth=1;"), "landsat_chips")</f>
        <v>landsat_chips</v>
      </c>
      <c r="K254" s="3" t="str">
        <f>HYPERLINK(CONCATENATE("https://livingatlas.arcgis.com/wayback/#ext=-71.22054866312617,18.206006646642052,-71.21854866312616,18.20400664664205"), "wayback")</f>
        <v>wayback</v>
      </c>
      <c r="L254" s="2" t="s">
        <v>21</v>
      </c>
      <c r="M254" s="6"/>
      <c r="N254" s="6" t="s">
        <v>21</v>
      </c>
    </row>
    <row r="255" spans="1:14" x14ac:dyDescent="0.35">
      <c r="A255" s="2">
        <v>254</v>
      </c>
      <c r="B255" s="2" t="s">
        <v>427</v>
      </c>
      <c r="C255" s="2" t="s">
        <v>271</v>
      </c>
      <c r="D255" s="2">
        <v>2019</v>
      </c>
      <c r="E255" s="2" t="s">
        <v>10</v>
      </c>
      <c r="F255" s="2">
        <v>691</v>
      </c>
      <c r="G255" s="2">
        <v>18.939570430157399</v>
      </c>
      <c r="H255" s="2">
        <v>-71.348299862937125</v>
      </c>
      <c r="I255" s="3" t="str">
        <f>HYPERLINK(CONCATENATE("https://faluhong.users.earthengine.app/view/hispaniola-lc-validation#id=LC254;lat=18.939570430157396;lon=-71.34829986293713;year=2019;bf=40;level=18;"), "landsat_time_series")</f>
        <v>landsat_time_series</v>
      </c>
      <c r="J255" s="3" t="str">
        <f>HYPERLINK(CONCATENATE("https://jstnbraaten.users.earthengine.app/view/landsat-timeseries-explorer#run=true;lon=-71.34829986293713;lat=18.939570430157396;from=01-01;to=12-31;index=NBR;rgb=NIR%2FRED%2FGREEN;chipwidth=1;"), "landsat_chips")</f>
        <v>landsat_chips</v>
      </c>
      <c r="K255" s="3" t="str">
        <f>HYPERLINK(CONCATENATE("https://livingatlas.arcgis.com/wayback/#ext=-71.34929986293713,18.940570430157397,-71.34729986293712,18.938570430157394"), "wayback")</f>
        <v>wayback</v>
      </c>
      <c r="L255" s="2" t="s">
        <v>921</v>
      </c>
      <c r="M255" s="6"/>
      <c r="N255" s="6" t="s">
        <v>921</v>
      </c>
    </row>
    <row r="256" spans="1:14" x14ac:dyDescent="0.35">
      <c r="A256" s="2">
        <v>255</v>
      </c>
      <c r="B256" s="2" t="s">
        <v>427</v>
      </c>
      <c r="C256" s="2" t="s">
        <v>272</v>
      </c>
      <c r="D256" s="2">
        <v>1999</v>
      </c>
      <c r="E256" s="2" t="s">
        <v>10</v>
      </c>
      <c r="F256" s="2">
        <v>4</v>
      </c>
      <c r="G256" s="2">
        <v>19.166096674210461</v>
      </c>
      <c r="H256" s="2">
        <v>-69.631707958079375</v>
      </c>
      <c r="I256" s="3" t="str">
        <f>HYPERLINK(CONCATENATE("https://faluhong.users.earthengine.app/view/hispaniola-lc-validation#id=LC255;lat=19.16609667421046;lon=-69.63170795807937;year=1999;bf=40;level=18;"), "landsat_time_series")</f>
        <v>landsat_time_series</v>
      </c>
      <c r="J256" s="3" t="str">
        <f>HYPERLINK(CONCATENATE("https://jstnbraaten.users.earthengine.app/view/landsat-timeseries-explorer#run=true;lon=-69.63170795807937;lat=19.16609667421046;from=01-01;to=12-31;index=NBR;rgb=NIR%2FRED%2FGREEN;chipwidth=1;"), "landsat_chips")</f>
        <v>landsat_chips</v>
      </c>
      <c r="K256" s="3" t="str">
        <f>HYPERLINK(CONCATENATE("https://livingatlas.arcgis.com/wayback/#ext=-69.63270795807938,19.167096674210462,-69.63070795807937,19.16509667421046"), "wayback")</f>
        <v>wayback</v>
      </c>
      <c r="L256" s="2" t="s">
        <v>15</v>
      </c>
      <c r="M256" s="6"/>
      <c r="N256" s="6" t="s">
        <v>15</v>
      </c>
    </row>
    <row r="257" spans="1:14" x14ac:dyDescent="0.35">
      <c r="A257" s="2">
        <v>256</v>
      </c>
      <c r="B257" s="2" t="s">
        <v>427</v>
      </c>
      <c r="C257" s="2" t="s">
        <v>273</v>
      </c>
      <c r="D257" s="2">
        <v>2013</v>
      </c>
      <c r="E257" s="2" t="s">
        <v>10</v>
      </c>
      <c r="F257" s="2">
        <v>2</v>
      </c>
      <c r="G257" s="2">
        <v>17.664601405206231</v>
      </c>
      <c r="H257" s="2">
        <v>-71.459993171135181</v>
      </c>
      <c r="I257" s="3" t="str">
        <f>HYPERLINK(CONCATENATE("https://faluhong.users.earthengine.app/view/hispaniola-lc-validation#id=LC256;lat=17.664601405206227;lon=-71.45999317113518;year=2013;bf=40;level=18;"), "landsat_time_series")</f>
        <v>landsat_time_series</v>
      </c>
      <c r="J257" s="3" t="str">
        <f>HYPERLINK(CONCATENATE("https://jstnbraaten.users.earthengine.app/view/landsat-timeseries-explorer#run=true;lon=-71.45999317113518;lat=17.664601405206227;from=01-01;to=12-31;index=NBR;rgb=NIR%2FRED%2FGREEN;chipwidth=1;"), "landsat_chips")</f>
        <v>landsat_chips</v>
      </c>
      <c r="K257" s="3" t="str">
        <f>HYPERLINK(CONCATENATE("https://livingatlas.arcgis.com/wayback/#ext=-71.46099317113519,17.66560140520623,-71.45899317113518,17.663601405206226"), "wayback")</f>
        <v>wayback</v>
      </c>
      <c r="L257" s="2" t="s">
        <v>921</v>
      </c>
      <c r="M257" s="6"/>
      <c r="N257" s="6" t="s">
        <v>921</v>
      </c>
    </row>
    <row r="258" spans="1:14" x14ac:dyDescent="0.35">
      <c r="A258" s="2">
        <v>257</v>
      </c>
      <c r="B258" s="2" t="s">
        <v>427</v>
      </c>
      <c r="C258" s="2" t="s">
        <v>274</v>
      </c>
      <c r="D258" s="2">
        <v>2013</v>
      </c>
      <c r="E258" s="2" t="s">
        <v>10</v>
      </c>
      <c r="F258" s="2">
        <v>648</v>
      </c>
      <c r="G258" s="2">
        <v>19.285198432789461</v>
      </c>
      <c r="H258" s="2">
        <v>-71.606892269043598</v>
      </c>
      <c r="I258" s="3" t="str">
        <f>HYPERLINK(CONCATENATE("https://faluhong.users.earthengine.app/view/hispaniola-lc-validation#id=LC257;lat=19.285198432789464;lon=-71.6068922690436;year=2013;bf=40;level=18;"), "landsat_time_series")</f>
        <v>landsat_time_series</v>
      </c>
      <c r="J258" s="3" t="str">
        <f>HYPERLINK(CONCATENATE("https://jstnbraaten.users.earthengine.app/view/landsat-timeseries-explorer#run=true;lon=-71.6068922690436;lat=19.285198432789464;from=01-01;to=12-31;index=NBR;rgb=NIR%2FRED%2FGREEN;chipwidth=1;"), "landsat_chips")</f>
        <v>landsat_chips</v>
      </c>
      <c r="K258" s="3" t="str">
        <f>HYPERLINK(CONCATENATE("https://livingatlas.arcgis.com/wayback/#ext=-71.6078922690436,19.286198432789465,-71.6058922690436,19.284198432789463"), "wayback")</f>
        <v>wayback</v>
      </c>
      <c r="L258" s="2" t="s">
        <v>921</v>
      </c>
      <c r="M258" s="6"/>
      <c r="N258" s="6" t="s">
        <v>921</v>
      </c>
    </row>
    <row r="259" spans="1:14" x14ac:dyDescent="0.35">
      <c r="A259" s="2">
        <v>258</v>
      </c>
      <c r="B259" s="2" t="s">
        <v>427</v>
      </c>
      <c r="C259" s="2" t="s">
        <v>275</v>
      </c>
      <c r="D259" s="2">
        <v>2021</v>
      </c>
      <c r="E259" s="2" t="s">
        <v>10</v>
      </c>
      <c r="F259" s="2">
        <v>24</v>
      </c>
      <c r="G259" s="2">
        <v>18.534434492447009</v>
      </c>
      <c r="H259" s="2">
        <v>-69.876283836424804</v>
      </c>
      <c r="I259" s="3" t="str">
        <f>HYPERLINK(CONCATENATE("https://faluhong.users.earthengine.app/view/hispaniola-lc-validation#id=LC258;lat=18.53443449244701;lon=-69.8762838364248;year=2021;bf=40;level=18;"), "landsat_time_series")</f>
        <v>landsat_time_series</v>
      </c>
      <c r="J259" s="3" t="str">
        <f>HYPERLINK(CONCATENATE("https://jstnbraaten.users.earthengine.app/view/landsat-timeseries-explorer#run=true;lon=-69.8762838364248;lat=18.53443449244701;from=01-01;to=12-31;index=NBR;rgb=NIR%2FRED%2FGREEN;chipwidth=1;"), "landsat_chips")</f>
        <v>landsat_chips</v>
      </c>
      <c r="K259" s="3" t="str">
        <f>HYPERLINK(CONCATENATE("https://livingatlas.arcgis.com/wayback/#ext=-69.87728383642481,18.53543449244701,-69.8752838364248,18.533434492447007"), "wayback")</f>
        <v>wayback</v>
      </c>
      <c r="L259" s="2" t="s">
        <v>11</v>
      </c>
      <c r="M259" s="6"/>
      <c r="N259" s="6" t="s">
        <v>11</v>
      </c>
    </row>
    <row r="260" spans="1:14" x14ac:dyDescent="0.35">
      <c r="A260" s="2">
        <v>259</v>
      </c>
      <c r="B260" s="2" t="s">
        <v>427</v>
      </c>
      <c r="C260" s="2" t="s">
        <v>276</v>
      </c>
      <c r="D260" s="2">
        <v>2020</v>
      </c>
      <c r="E260" s="2" t="s">
        <v>10</v>
      </c>
      <c r="F260" s="2">
        <v>1763</v>
      </c>
      <c r="G260" s="2">
        <v>19.173046697324889</v>
      </c>
      <c r="H260" s="2">
        <v>-71.228637252864061</v>
      </c>
      <c r="I260" s="3" t="str">
        <f>HYPERLINK(CONCATENATE("https://faluhong.users.earthengine.app/view/hispaniola-lc-validation#id=LC259;lat=19.173046697324885;lon=-71.22863725286406;year=2020;bf=40;level=18;"), "landsat_time_series")</f>
        <v>landsat_time_series</v>
      </c>
      <c r="J260" s="3" t="str">
        <f>HYPERLINK(CONCATENATE("https://jstnbraaten.users.earthengine.app/view/landsat-timeseries-explorer#run=true;lon=-71.22863725286406;lat=19.173046697324885;from=01-01;to=12-31;index=NBR;rgb=NIR%2FRED%2FGREEN;chipwidth=1;"), "landsat_chips")</f>
        <v>landsat_chips</v>
      </c>
      <c r="K260" s="3" t="str">
        <f>HYPERLINK(CONCATENATE("https://livingatlas.arcgis.com/wayback/#ext=-71.22963725286407,19.174046697324886,-71.22763725286406,19.172046697324884"), "wayback")</f>
        <v>wayback</v>
      </c>
      <c r="L260" s="2" t="s">
        <v>38</v>
      </c>
      <c r="M260" s="6"/>
      <c r="N260" s="6" t="s">
        <v>38</v>
      </c>
    </row>
    <row r="261" spans="1:14" x14ac:dyDescent="0.35">
      <c r="A261" s="2">
        <v>260</v>
      </c>
      <c r="B261" s="2" t="s">
        <v>427</v>
      </c>
      <c r="C261" s="2" t="s">
        <v>277</v>
      </c>
      <c r="D261" s="2">
        <v>2000</v>
      </c>
      <c r="E261" s="2" t="s">
        <v>20</v>
      </c>
      <c r="F261" s="2">
        <v>45</v>
      </c>
      <c r="G261" s="2">
        <v>19.693804679145309</v>
      </c>
      <c r="H261" s="2">
        <v>-72.320749581073002</v>
      </c>
      <c r="I261" s="3" t="str">
        <f>HYPERLINK(CONCATENATE("https://faluhong.users.earthengine.app/view/hispaniola-lc-validation#id=LC260;lat=19.693804679145305;lon=-72.320749581073;year=2000;bf=40;level=18;"), "landsat_time_series")</f>
        <v>landsat_time_series</v>
      </c>
      <c r="J261" s="3" t="str">
        <f>HYPERLINK(CONCATENATE("https://jstnbraaten.users.earthengine.app/view/landsat-timeseries-explorer#run=true;lon=-72.320749581073;lat=19.693804679145305;from=01-01;to=12-31;index=NBR;rgb=NIR%2FRED%2FGREEN;chipwidth=1;"), "landsat_chips")</f>
        <v>landsat_chips</v>
      </c>
      <c r="K261" s="3" t="str">
        <f>HYPERLINK(CONCATENATE("https://livingatlas.arcgis.com/wayback/#ext=-72.32174958107301,19.694804679145307,-72.319749581073,19.692804679145304"), "wayback")</f>
        <v>wayback</v>
      </c>
      <c r="L261" s="2" t="s">
        <v>18</v>
      </c>
      <c r="M261" s="6"/>
      <c r="N261" s="6" t="s">
        <v>21</v>
      </c>
    </row>
    <row r="262" spans="1:14" x14ac:dyDescent="0.35">
      <c r="A262" s="2">
        <v>261</v>
      </c>
      <c r="B262" s="2" t="s">
        <v>427</v>
      </c>
      <c r="C262" s="2" t="s">
        <v>278</v>
      </c>
      <c r="D262" s="2">
        <v>1999</v>
      </c>
      <c r="E262" s="2" t="s">
        <v>20</v>
      </c>
      <c r="F262" s="2">
        <v>1800</v>
      </c>
      <c r="G262" s="2">
        <v>18.346909346109879</v>
      </c>
      <c r="H262" s="2">
        <v>-73.97110310356436</v>
      </c>
      <c r="I262" s="3" t="str">
        <f>HYPERLINK(CONCATENATE("https://faluhong.users.earthengine.app/view/hispaniola-lc-validation#id=LC261;lat=18.346909346109875;lon=-73.97110310356436;year=1999;bf=40;level=18;"), "landsat_time_series")</f>
        <v>landsat_time_series</v>
      </c>
      <c r="J262" s="3" t="str">
        <f>HYPERLINK(CONCATENATE("https://jstnbraaten.users.earthengine.app/view/landsat-timeseries-explorer#run=true;lon=-73.97110310356436;lat=18.346909346109875;from=01-01;to=12-31;index=NBR;rgb=NIR%2FRED%2FGREEN;chipwidth=1;"), "landsat_chips")</f>
        <v>landsat_chips</v>
      </c>
      <c r="K262" s="3" t="str">
        <f>HYPERLINK(CONCATENATE("https://livingatlas.arcgis.com/wayback/#ext=-73.97210310356436,18.347909346109876,-73.97010310356436,18.345909346109874"), "wayback")</f>
        <v>wayback</v>
      </c>
      <c r="L262" s="2" t="s">
        <v>38</v>
      </c>
      <c r="M262" s="6"/>
      <c r="N262" s="6" t="s">
        <v>38</v>
      </c>
    </row>
    <row r="263" spans="1:14" x14ac:dyDescent="0.35">
      <c r="A263" s="2">
        <v>262</v>
      </c>
      <c r="B263" s="2" t="s">
        <v>427</v>
      </c>
      <c r="C263" s="2" t="s">
        <v>279</v>
      </c>
      <c r="D263" s="2">
        <v>2001</v>
      </c>
      <c r="E263" s="2" t="s">
        <v>10</v>
      </c>
      <c r="F263" s="2">
        <v>24</v>
      </c>
      <c r="G263" s="2">
        <v>18.272079259653921</v>
      </c>
      <c r="H263" s="2">
        <v>-68.725236236909112</v>
      </c>
      <c r="I263" s="3" t="str">
        <f>HYPERLINK(CONCATENATE("https://faluhong.users.earthengine.app/view/hispaniola-lc-validation#id=LC262;lat=18.27207925965392;lon=-68.72523623690911;year=2001;bf=40;level=18;"), "landsat_time_series")</f>
        <v>landsat_time_series</v>
      </c>
      <c r="J263" s="3" t="str">
        <f>HYPERLINK(CONCATENATE("https://jstnbraaten.users.earthengine.app/view/landsat-timeseries-explorer#run=true;lon=-68.72523623690911;lat=18.27207925965392;from=01-01;to=12-31;index=NBR;rgb=NIR%2FRED%2FGREEN;chipwidth=1;"), "landsat_chips")</f>
        <v>landsat_chips</v>
      </c>
      <c r="K263" s="3" t="str">
        <f>HYPERLINK(CONCATENATE("https://livingatlas.arcgis.com/wayback/#ext=-68.72623623690912,18.273079259653922,-68.7242362369091,18.27107925965392"), "wayback")</f>
        <v>wayback</v>
      </c>
      <c r="L263" s="2" t="s">
        <v>18</v>
      </c>
      <c r="M263" s="6"/>
      <c r="N263" s="6" t="s">
        <v>18</v>
      </c>
    </row>
    <row r="264" spans="1:14" x14ac:dyDescent="0.35">
      <c r="A264" s="2">
        <v>263</v>
      </c>
      <c r="B264" s="2" t="s">
        <v>427</v>
      </c>
      <c r="C264" s="2" t="s">
        <v>280</v>
      </c>
      <c r="D264" s="2">
        <v>2016</v>
      </c>
      <c r="E264" s="2" t="s">
        <v>20</v>
      </c>
      <c r="F264" s="2">
        <v>1347</v>
      </c>
      <c r="G264" s="2">
        <v>18.29158461129208</v>
      </c>
      <c r="H264" s="2">
        <v>-72.258221125680791</v>
      </c>
      <c r="I264" s="3" t="str">
        <f>HYPERLINK(CONCATENATE("https://faluhong.users.earthengine.app/view/hispaniola-lc-validation#id=LC263;lat=18.291584611292077;lon=-72.25822112568079;year=2016;bf=40;level=18;"), "landsat_time_series")</f>
        <v>landsat_time_series</v>
      </c>
      <c r="J264" s="3" t="str">
        <f>HYPERLINK(CONCATENATE("https://jstnbraaten.users.earthengine.app/view/landsat-timeseries-explorer#run=true;lon=-72.25822112568079;lat=18.291584611292077;from=01-01;to=12-31;index=NBR;rgb=NIR%2FRED%2FGREEN;chipwidth=1;"), "landsat_chips")</f>
        <v>landsat_chips</v>
      </c>
      <c r="K264" s="3" t="str">
        <f>HYPERLINK(CONCATENATE("https://livingatlas.arcgis.com/wayback/#ext=-72.2592211256808,18.292584611292078,-72.25722112568079,18.290584611292076"), "wayback")</f>
        <v>wayback</v>
      </c>
      <c r="L264" s="2" t="s">
        <v>921</v>
      </c>
      <c r="M264" s="6"/>
      <c r="N264" s="6" t="s">
        <v>921</v>
      </c>
    </row>
    <row r="265" spans="1:14" x14ac:dyDescent="0.35">
      <c r="A265" s="2">
        <v>264</v>
      </c>
      <c r="B265" s="2" t="s">
        <v>427</v>
      </c>
      <c r="C265" s="2" t="s">
        <v>281</v>
      </c>
      <c r="D265" s="2">
        <v>2019</v>
      </c>
      <c r="E265" s="2" t="s">
        <v>10</v>
      </c>
      <c r="F265" s="2">
        <v>234</v>
      </c>
      <c r="G265" s="2">
        <v>19.527475169088319</v>
      </c>
      <c r="H265" s="2">
        <v>-71.277310889880155</v>
      </c>
      <c r="I265" s="3" t="str">
        <f>HYPERLINK(CONCATENATE("https://faluhong.users.earthengine.app/view/hispaniola-lc-validation#id=LC264;lat=19.527475169088323;lon=-71.27731088988016;year=2019;bf=40;level=18;"), "landsat_time_series")</f>
        <v>landsat_time_series</v>
      </c>
      <c r="J265" s="3" t="str">
        <f>HYPERLINK(CONCATENATE("https://jstnbraaten.users.earthengine.app/view/landsat-timeseries-explorer#run=true;lon=-71.27731088988016;lat=19.527475169088323;from=01-01;to=12-31;index=NBR;rgb=NIR%2FRED%2FGREEN;chipwidth=1;"), "landsat_chips")</f>
        <v>landsat_chips</v>
      </c>
      <c r="K265" s="3" t="str">
        <f>HYPERLINK(CONCATENATE("https://livingatlas.arcgis.com/wayback/#ext=-71.27831088988016,19.528475169088324,-71.27631088988015,19.52647516908832"), "wayback")</f>
        <v>wayback</v>
      </c>
      <c r="L265" s="2" t="s">
        <v>21</v>
      </c>
      <c r="M265" s="6"/>
      <c r="N265" s="6" t="s">
        <v>21</v>
      </c>
    </row>
    <row r="266" spans="1:14" x14ac:dyDescent="0.35">
      <c r="A266" s="2">
        <v>265</v>
      </c>
      <c r="B266" s="2" t="s">
        <v>427</v>
      </c>
      <c r="C266" s="2" t="s">
        <v>282</v>
      </c>
      <c r="D266" s="2">
        <v>2004</v>
      </c>
      <c r="E266" s="2" t="s">
        <v>10</v>
      </c>
      <c r="F266" s="2">
        <v>101</v>
      </c>
      <c r="G266" s="2">
        <v>19.276218679700889</v>
      </c>
      <c r="H266" s="2">
        <v>-70.226429406343499</v>
      </c>
      <c r="I266" s="3" t="str">
        <f>HYPERLINK(CONCATENATE("https://faluhong.users.earthengine.app/view/hispaniola-lc-validation#id=LC265;lat=19.27621867970089;lon=-70.2264294063435;year=2004;bf=40;level=18;"), "landsat_time_series")</f>
        <v>landsat_time_series</v>
      </c>
      <c r="J266" s="3" t="str">
        <f>HYPERLINK(CONCATENATE("https://jstnbraaten.users.earthengine.app/view/landsat-timeseries-explorer#run=true;lon=-70.2264294063435;lat=19.27621867970089;from=01-01;to=12-31;index=NBR;rgb=NIR%2FRED%2FGREEN;chipwidth=1;"), "landsat_chips")</f>
        <v>landsat_chips</v>
      </c>
      <c r="K266" s="3" t="str">
        <f>HYPERLINK(CONCATENATE("https://livingatlas.arcgis.com/wayback/#ext=-70.2274294063435,19.27721867970089,-70.2254294063435,19.275218679700888"), "wayback")</f>
        <v>wayback</v>
      </c>
      <c r="L266" s="2" t="s">
        <v>921</v>
      </c>
      <c r="M266" s="6"/>
      <c r="N266" s="6" t="s">
        <v>921</v>
      </c>
    </row>
    <row r="267" spans="1:14" x14ac:dyDescent="0.35">
      <c r="A267" s="2">
        <v>266</v>
      </c>
      <c r="B267" s="2" t="s">
        <v>427</v>
      </c>
      <c r="C267" s="2" t="s">
        <v>283</v>
      </c>
      <c r="D267" s="2">
        <v>2002</v>
      </c>
      <c r="E267" s="2" t="s">
        <v>20</v>
      </c>
      <c r="F267" s="2">
        <v>127</v>
      </c>
      <c r="G267" s="2">
        <v>18.88097045496556</v>
      </c>
      <c r="H267" s="2">
        <v>-72.093572563208866</v>
      </c>
      <c r="I267" s="3" t="str">
        <f>HYPERLINK(CONCATENATE("https://faluhong.users.earthengine.app/view/hispaniola-lc-validation#id=LC266;lat=18.880970454965556;lon=-72.09357256320887;year=2002;bf=40;level=18;"), "landsat_time_series")</f>
        <v>landsat_time_series</v>
      </c>
      <c r="J267" s="3" t="str">
        <f>HYPERLINK(CONCATENATE("https://jstnbraaten.users.earthengine.app/view/landsat-timeseries-explorer#run=true;lon=-72.09357256320887;lat=18.880970454965556;from=01-01;to=12-31;index=NBR;rgb=NIR%2FRED%2FGREEN;chipwidth=1;"), "landsat_chips")</f>
        <v>landsat_chips</v>
      </c>
      <c r="K267" s="3" t="str">
        <f>HYPERLINK(CONCATENATE("https://livingatlas.arcgis.com/wayback/#ext=-72.09457256320887,18.881970454965558,-72.09257256320886,18.879970454965555"), "wayback")</f>
        <v>wayback</v>
      </c>
      <c r="L267" s="2" t="s">
        <v>921</v>
      </c>
      <c r="M267" s="6"/>
      <c r="N267" s="6" t="s">
        <v>921</v>
      </c>
    </row>
    <row r="268" spans="1:14" x14ac:dyDescent="0.35">
      <c r="A268" s="2">
        <v>267</v>
      </c>
      <c r="B268" s="2" t="s">
        <v>427</v>
      </c>
      <c r="C268" s="2" t="s">
        <v>284</v>
      </c>
      <c r="D268" s="2">
        <v>2013</v>
      </c>
      <c r="E268" s="2" t="s">
        <v>20</v>
      </c>
      <c r="F268" s="2">
        <v>34</v>
      </c>
      <c r="G268" s="2">
        <v>18.540705357550589</v>
      </c>
      <c r="H268" s="2">
        <v>-72.493066649440522</v>
      </c>
      <c r="I268" s="3" t="str">
        <f>HYPERLINK(CONCATENATE("https://faluhong.users.earthengine.app/view/hispaniola-lc-validation#id=LC267;lat=18.540705357550586;lon=-72.49306664944052;year=2013;bf=40;level=18;"), "landsat_time_series")</f>
        <v>landsat_time_series</v>
      </c>
      <c r="J268" s="3" t="str">
        <f>HYPERLINK(CONCATENATE("https://jstnbraaten.users.earthengine.app/view/landsat-timeseries-explorer#run=true;lon=-72.49306664944052;lat=18.540705357550586;from=01-01;to=12-31;index=NBR;rgb=NIR%2FRED%2FGREEN;chipwidth=1;"), "landsat_chips")</f>
        <v>landsat_chips</v>
      </c>
      <c r="K268" s="3" t="str">
        <f>HYPERLINK(CONCATENATE("https://livingatlas.arcgis.com/wayback/#ext=-72.49406664944053,18.541705357550587,-72.49206664944052,18.539705357550584"), "wayback")</f>
        <v>wayback</v>
      </c>
      <c r="L268" s="2" t="s">
        <v>11</v>
      </c>
      <c r="M268" s="6"/>
      <c r="N268" s="6" t="s">
        <v>11</v>
      </c>
    </row>
    <row r="269" spans="1:14" x14ac:dyDescent="0.35">
      <c r="A269" s="2">
        <v>268</v>
      </c>
      <c r="B269" s="2" t="s">
        <v>427</v>
      </c>
      <c r="C269" s="2" t="s">
        <v>285</v>
      </c>
      <c r="D269" s="2">
        <v>2019</v>
      </c>
      <c r="E269" s="2" t="s">
        <v>20</v>
      </c>
      <c r="F269" s="2">
        <v>661</v>
      </c>
      <c r="G269" s="2">
        <v>19.300661323239289</v>
      </c>
      <c r="H269" s="2">
        <v>-71.825721749754521</v>
      </c>
      <c r="I269" s="3" t="str">
        <f>HYPERLINK(CONCATENATE("https://faluhong.users.earthengine.app/view/hispaniola-lc-validation#id=LC268;lat=19.30066132323929;lon=-71.82572174975452;year=2019;bf=40;level=18;"), "landsat_time_series")</f>
        <v>landsat_time_series</v>
      </c>
      <c r="J269" s="3" t="str">
        <f>HYPERLINK(CONCATENATE("https://jstnbraaten.users.earthengine.app/view/landsat-timeseries-explorer#run=true;lon=-71.82572174975452;lat=19.30066132323929;from=01-01;to=12-31;index=NBR;rgb=NIR%2FRED%2FGREEN;chipwidth=1;"), "landsat_chips")</f>
        <v>landsat_chips</v>
      </c>
      <c r="K269" s="3" t="str">
        <f>HYPERLINK(CONCATENATE("https://livingatlas.arcgis.com/wayback/#ext=-71.82672174975453,19.30166132323929,-71.82472174975452,19.299661323239288"), "wayback")</f>
        <v>wayback</v>
      </c>
      <c r="L269" s="2" t="s">
        <v>921</v>
      </c>
      <c r="M269" s="6"/>
      <c r="N269" s="6" t="s">
        <v>921</v>
      </c>
    </row>
    <row r="270" spans="1:14" x14ac:dyDescent="0.35">
      <c r="A270" s="2">
        <v>269</v>
      </c>
      <c r="B270" s="2" t="s">
        <v>427</v>
      </c>
      <c r="C270" s="2" t="s">
        <v>286</v>
      </c>
      <c r="D270" s="2">
        <v>2013</v>
      </c>
      <c r="E270" s="2" t="s">
        <v>10</v>
      </c>
      <c r="F270" s="2">
        <v>168</v>
      </c>
      <c r="G270" s="2">
        <v>18.494494346191559</v>
      </c>
      <c r="H270" s="2">
        <v>-71.15998905474234</v>
      </c>
      <c r="I270" s="3" t="str">
        <f>HYPERLINK(CONCATENATE("https://faluhong.users.earthengine.app/view/hispaniola-lc-validation#id=LC269;lat=18.494494346191562;lon=-71.15998905474234;year=2013;bf=40;level=18;"), "landsat_time_series")</f>
        <v>landsat_time_series</v>
      </c>
      <c r="J270" s="3" t="str">
        <f>HYPERLINK(CONCATENATE("https://jstnbraaten.users.earthengine.app/view/landsat-timeseries-explorer#run=true;lon=-71.15998905474234;lat=18.494494346191562;from=01-01;to=12-31;index=NBR;rgb=NIR%2FRED%2FGREEN;chipwidth=1;"), "landsat_chips")</f>
        <v>landsat_chips</v>
      </c>
      <c r="K270" s="3" t="str">
        <f>HYPERLINK(CONCATENATE("https://livingatlas.arcgis.com/wayback/#ext=-71.16098905474234,18.495494346191563,-71.15898905474234,18.49349434619156"), "wayback")</f>
        <v>wayback</v>
      </c>
      <c r="L270" s="2" t="s">
        <v>21</v>
      </c>
      <c r="M270" s="6"/>
      <c r="N270" s="6" t="s">
        <v>21</v>
      </c>
    </row>
    <row r="271" spans="1:14" x14ac:dyDescent="0.35">
      <c r="A271" s="2">
        <v>270</v>
      </c>
      <c r="B271" s="2" t="s">
        <v>427</v>
      </c>
      <c r="C271" s="2" t="s">
        <v>287</v>
      </c>
      <c r="D271" s="2">
        <v>2005</v>
      </c>
      <c r="E271" s="2" t="s">
        <v>10</v>
      </c>
      <c r="F271" s="2">
        <v>72</v>
      </c>
      <c r="G271" s="2">
        <v>18.438338470868938</v>
      </c>
      <c r="H271" s="2">
        <v>-71.815502854855879</v>
      </c>
      <c r="I271" s="3" t="str">
        <f>HYPERLINK(CONCATENATE("https://faluhong.users.earthengine.app/view/hispaniola-lc-validation#id=LC270;lat=18.438338470868942;lon=-71.81550285485588;year=2005;bf=40;level=18;"), "landsat_time_series")</f>
        <v>landsat_time_series</v>
      </c>
      <c r="J271" s="3" t="str">
        <f>HYPERLINK(CONCATENATE("https://jstnbraaten.users.earthengine.app/view/landsat-timeseries-explorer#run=true;lon=-71.81550285485588;lat=18.438338470868942;from=01-01;to=12-31;index=NBR;rgb=NIR%2FRED%2FGREEN;chipwidth=1;"), "landsat_chips")</f>
        <v>landsat_chips</v>
      </c>
      <c r="K271" s="3" t="str">
        <f>HYPERLINK(CONCATENATE("https://livingatlas.arcgis.com/wayback/#ext=-71.81650285485588,18.439338470868943,-71.81450285485587,18.43733847086894"), "wayback")</f>
        <v>wayback</v>
      </c>
      <c r="L271" s="2" t="s">
        <v>921</v>
      </c>
      <c r="M271" s="6"/>
      <c r="N271" s="6" t="s">
        <v>21</v>
      </c>
    </row>
    <row r="272" spans="1:14" x14ac:dyDescent="0.35">
      <c r="A272" s="2">
        <v>271</v>
      </c>
      <c r="B272" s="2" t="s">
        <v>427</v>
      </c>
      <c r="C272" s="2" t="s">
        <v>288</v>
      </c>
      <c r="D272" s="2">
        <v>2003</v>
      </c>
      <c r="E272" s="2" t="s">
        <v>20</v>
      </c>
      <c r="F272" s="2">
        <v>15</v>
      </c>
      <c r="G272" s="2">
        <v>19.675842617949861</v>
      </c>
      <c r="H272" s="2">
        <v>-71.80677229333692</v>
      </c>
      <c r="I272" s="3" t="str">
        <f>HYPERLINK(CONCATENATE("https://faluhong.users.earthengine.app/view/hispaniola-lc-validation#id=LC271;lat=19.675842617949865;lon=-71.80677229333692;year=2003;bf=40;level=18;"), "landsat_time_series")</f>
        <v>landsat_time_series</v>
      </c>
      <c r="J272" s="3" t="str">
        <f>HYPERLINK(CONCATENATE("https://jstnbraaten.users.earthengine.app/view/landsat-timeseries-explorer#run=true;lon=-71.80677229333692;lat=19.675842617949865;from=01-01;to=12-31;index=NBR;rgb=NIR%2FRED%2FGREEN;chipwidth=1;"), "landsat_chips")</f>
        <v>landsat_chips</v>
      </c>
      <c r="K272" s="3" t="str">
        <f>HYPERLINK(CONCATENATE("https://livingatlas.arcgis.com/wayback/#ext=-71.80777229333692,19.676842617949866,-71.80577229333691,19.674842617949864"), "wayback")</f>
        <v>wayback</v>
      </c>
      <c r="L272" s="2" t="s">
        <v>921</v>
      </c>
      <c r="M272" s="6"/>
      <c r="N272" s="6" t="s">
        <v>921</v>
      </c>
    </row>
    <row r="273" spans="1:14" x14ac:dyDescent="0.35">
      <c r="A273" s="2">
        <v>272</v>
      </c>
      <c r="B273" s="2" t="s">
        <v>427</v>
      </c>
      <c r="C273" s="2" t="s">
        <v>289</v>
      </c>
      <c r="D273" s="2">
        <v>1996</v>
      </c>
      <c r="E273" s="2" t="s">
        <v>20</v>
      </c>
      <c r="F273" s="2">
        <v>62</v>
      </c>
      <c r="G273" s="2">
        <v>18.27778876843206</v>
      </c>
      <c r="H273" s="2">
        <v>-73.776954212202583</v>
      </c>
      <c r="I273" s="3" t="str">
        <f>HYPERLINK(CONCATENATE("https://faluhong.users.earthengine.app/view/hispaniola-lc-validation#id=LC272;lat=18.277788768432064;lon=-73.77695421220258;year=1996;bf=40;level=18;"), "landsat_time_series")</f>
        <v>landsat_time_series</v>
      </c>
      <c r="J273" s="3" t="str">
        <f>HYPERLINK(CONCATENATE("https://jstnbraaten.users.earthengine.app/view/landsat-timeseries-explorer#run=true;lon=-73.77695421220258;lat=18.277788768432064;from=01-01;to=12-31;index=NBR;rgb=NIR%2FRED%2FGREEN;chipwidth=1;"), "landsat_chips")</f>
        <v>landsat_chips</v>
      </c>
      <c r="K273" s="3" t="str">
        <f>HYPERLINK(CONCATENATE("https://livingatlas.arcgis.com/wayback/#ext=-73.77795421220259,18.278788768432065,-73.77595421220258,18.276788768432063"), "wayback")</f>
        <v>wayback</v>
      </c>
      <c r="L273" s="2" t="s">
        <v>921</v>
      </c>
      <c r="M273" s="6"/>
      <c r="N273" s="6" t="s">
        <v>921</v>
      </c>
    </row>
    <row r="274" spans="1:14" x14ac:dyDescent="0.35">
      <c r="A274" s="2">
        <v>273</v>
      </c>
      <c r="B274" s="2" t="s">
        <v>427</v>
      </c>
      <c r="C274" s="2" t="s">
        <v>290</v>
      </c>
      <c r="D274" s="2">
        <v>2013</v>
      </c>
      <c r="E274" s="2" t="s">
        <v>10</v>
      </c>
      <c r="F274" s="2">
        <v>1602</v>
      </c>
      <c r="G274" s="2">
        <v>18.83915931901441</v>
      </c>
      <c r="H274" s="2">
        <v>-70.593045126759037</v>
      </c>
      <c r="I274" s="3" t="str">
        <f>HYPERLINK(CONCATENATE("https://faluhong.users.earthengine.app/view/hispaniola-lc-validation#id=LC273;lat=18.839159319014406;lon=-70.59304512675904;year=2013;bf=40;level=18;"), "landsat_time_series")</f>
        <v>landsat_time_series</v>
      </c>
      <c r="J274" s="3" t="str">
        <f>HYPERLINK(CONCATENATE("https://jstnbraaten.users.earthengine.app/view/landsat-timeseries-explorer#run=true;lon=-70.59304512675904;lat=18.839159319014406;from=01-01;to=12-31;index=NBR;rgb=NIR%2FRED%2FGREEN;chipwidth=1;"), "landsat_chips")</f>
        <v>landsat_chips</v>
      </c>
      <c r="K274" s="3" t="str">
        <f>HYPERLINK(CONCATENATE("https://livingatlas.arcgis.com/wayback/#ext=-70.59404512675904,18.840159319014408,-70.59204512675903,18.838159319014405"), "wayback")</f>
        <v>wayback</v>
      </c>
      <c r="L274" s="2" t="s">
        <v>38</v>
      </c>
      <c r="M274" s="6"/>
      <c r="N274" s="6" t="s">
        <v>38</v>
      </c>
    </row>
    <row r="275" spans="1:14" x14ac:dyDescent="0.35">
      <c r="A275" s="2">
        <v>274</v>
      </c>
      <c r="B275" s="2" t="s">
        <v>427</v>
      </c>
      <c r="C275" s="2" t="s">
        <v>291</v>
      </c>
      <c r="D275" s="2">
        <v>2006</v>
      </c>
      <c r="E275" s="2" t="s">
        <v>10</v>
      </c>
      <c r="F275" s="2">
        <v>7</v>
      </c>
      <c r="G275" s="2">
        <v>18.259852753062638</v>
      </c>
      <c r="H275" s="2">
        <v>-68.650421188235228</v>
      </c>
      <c r="I275" s="3" t="str">
        <f>HYPERLINK(CONCATENATE("https://faluhong.users.earthengine.app/view/hispaniola-lc-validation#id=LC274;lat=18.259852753062642;lon=-68.65042118823523;year=2006;bf=40;level=18;"), "landsat_time_series")</f>
        <v>landsat_time_series</v>
      </c>
      <c r="J275" s="3" t="str">
        <f>HYPERLINK(CONCATENATE("https://jstnbraaten.users.earthengine.app/view/landsat-timeseries-explorer#run=true;lon=-68.65042118823523;lat=18.259852753062642;from=01-01;to=12-31;index=NBR;rgb=NIR%2FRED%2FGREEN;chipwidth=1;"), "landsat_chips")</f>
        <v>landsat_chips</v>
      </c>
      <c r="K275" s="3" t="str">
        <f>HYPERLINK(CONCATENATE("https://livingatlas.arcgis.com/wayback/#ext=-68.65142118823523,18.260852753062643,-68.64942118823522,18.25885275306264"), "wayback")</f>
        <v>wayback</v>
      </c>
      <c r="L275" s="2" t="s">
        <v>18</v>
      </c>
      <c r="M275" s="6"/>
      <c r="N275" s="6" t="s">
        <v>18</v>
      </c>
    </row>
    <row r="276" spans="1:14" x14ac:dyDescent="0.35">
      <c r="A276" s="2">
        <v>275</v>
      </c>
      <c r="B276" s="2" t="s">
        <v>427</v>
      </c>
      <c r="C276" s="2" t="s">
        <v>292</v>
      </c>
      <c r="D276" s="2">
        <v>2008</v>
      </c>
      <c r="E276" s="2" t="s">
        <v>10</v>
      </c>
      <c r="F276" s="2">
        <v>119</v>
      </c>
      <c r="G276" s="2">
        <v>19.307964194411621</v>
      </c>
      <c r="H276" s="2">
        <v>-70.259567102425891</v>
      </c>
      <c r="I276" s="3" t="str">
        <f>HYPERLINK(CONCATENATE("https://faluhong.users.earthengine.app/view/hispaniola-lc-validation#id=LC275;lat=19.30796419441162;lon=-70.25956710242589;year=2008;bf=40;level=18;"), "landsat_time_series")</f>
        <v>landsat_time_series</v>
      </c>
      <c r="J276" s="3" t="str">
        <f>HYPERLINK(CONCATENATE("https://jstnbraaten.users.earthengine.app/view/landsat-timeseries-explorer#run=true;lon=-70.25956710242589;lat=19.30796419441162;from=01-01;to=12-31;index=NBR;rgb=NIR%2FRED%2FGREEN;chipwidth=1;"), "landsat_chips")</f>
        <v>landsat_chips</v>
      </c>
      <c r="K276" s="3" t="str">
        <f>HYPERLINK(CONCATENATE("https://livingatlas.arcgis.com/wayback/#ext=-70.2605671024259,19.308964194411622,-70.25856710242589,19.30696419441162"), "wayback")</f>
        <v>wayback</v>
      </c>
      <c r="L276" s="2" t="s">
        <v>11</v>
      </c>
      <c r="M276" s="6"/>
      <c r="N276" s="6" t="s">
        <v>11</v>
      </c>
    </row>
    <row r="277" spans="1:14" x14ac:dyDescent="0.35">
      <c r="A277" s="2">
        <v>276</v>
      </c>
      <c r="B277" s="2" t="s">
        <v>427</v>
      </c>
      <c r="C277" s="2" t="s">
        <v>293</v>
      </c>
      <c r="D277" s="2">
        <v>2003</v>
      </c>
      <c r="E277" s="2" t="s">
        <v>10</v>
      </c>
      <c r="F277" s="2">
        <v>16</v>
      </c>
      <c r="G277" s="2">
        <v>18.573680840727832</v>
      </c>
      <c r="H277" s="2">
        <v>-70.034555798452445</v>
      </c>
      <c r="I277" s="3" t="str">
        <f>HYPERLINK(CONCATENATE("https://faluhong.users.earthengine.app/view/hispaniola-lc-validation#id=LC276;lat=18.573680840727828;lon=-70.03455579845244;year=2003;bf=40;level=18;"), "landsat_time_series")</f>
        <v>landsat_time_series</v>
      </c>
      <c r="J277" s="3" t="str">
        <f>HYPERLINK(CONCATENATE("https://jstnbraaten.users.earthengine.app/view/landsat-timeseries-explorer#run=true;lon=-70.03455579845244;lat=18.573680840727828;from=01-01;to=12-31;index=NBR;rgb=NIR%2FRED%2FGREEN;chipwidth=1;"), "landsat_chips")</f>
        <v>landsat_chips</v>
      </c>
      <c r="K277" s="3" t="str">
        <f>HYPERLINK(CONCATENATE("https://livingatlas.arcgis.com/wayback/#ext=-70.03555579845245,18.57468084072783,-70.03355579845244,18.572680840727827"), "wayback")</f>
        <v>wayback</v>
      </c>
      <c r="L277" s="2" t="s">
        <v>921</v>
      </c>
      <c r="M277" s="6"/>
      <c r="N277" s="6" t="s">
        <v>921</v>
      </c>
    </row>
    <row r="278" spans="1:14" x14ac:dyDescent="0.35">
      <c r="A278" s="2">
        <v>277</v>
      </c>
      <c r="B278" s="2" t="s">
        <v>427</v>
      </c>
      <c r="C278" s="2" t="s">
        <v>294</v>
      </c>
      <c r="D278" s="2">
        <v>2008</v>
      </c>
      <c r="E278" s="2" t="s">
        <v>10</v>
      </c>
      <c r="F278" s="2">
        <v>61</v>
      </c>
      <c r="G278" s="2">
        <v>18.354891884995212</v>
      </c>
      <c r="H278" s="2">
        <v>-68.65788178255346</v>
      </c>
      <c r="I278" s="3" t="str">
        <f>HYPERLINK(CONCATENATE("https://faluhong.users.earthengine.app/view/hispaniola-lc-validation#id=LC277;lat=18.35489188499521;lon=-68.65788178255346;year=2008;bf=40;level=18;"), "landsat_time_series")</f>
        <v>landsat_time_series</v>
      </c>
      <c r="J278" s="3" t="str">
        <f>HYPERLINK(CONCATENATE("https://jstnbraaten.users.earthengine.app/view/landsat-timeseries-explorer#run=true;lon=-68.65788178255346;lat=18.35489188499521;from=01-01;to=12-31;index=NBR;rgb=NIR%2FRED%2FGREEN;chipwidth=1;"), "landsat_chips")</f>
        <v>landsat_chips</v>
      </c>
      <c r="K278" s="3" t="str">
        <f>HYPERLINK(CONCATENATE("https://livingatlas.arcgis.com/wayback/#ext=-68.65888178255346,18.355891884995213,-68.65688178255346,18.35389188499521"), "wayback")</f>
        <v>wayback</v>
      </c>
      <c r="L278" s="2" t="s">
        <v>18</v>
      </c>
      <c r="M278" s="6"/>
      <c r="N278" s="6" t="s">
        <v>18</v>
      </c>
    </row>
    <row r="279" spans="1:14" x14ac:dyDescent="0.35">
      <c r="A279" s="2">
        <v>278</v>
      </c>
      <c r="B279" s="2" t="s">
        <v>427</v>
      </c>
      <c r="C279" s="2" t="s">
        <v>295</v>
      </c>
      <c r="D279" s="2">
        <v>2022</v>
      </c>
      <c r="E279" s="2" t="s">
        <v>20</v>
      </c>
      <c r="F279" s="2">
        <v>17</v>
      </c>
      <c r="G279" s="2">
        <v>18.62442533137078</v>
      </c>
      <c r="H279" s="2">
        <v>-72.01497011867869</v>
      </c>
      <c r="I279" s="3" t="str">
        <f>HYPERLINK(CONCATENATE("https://faluhong.users.earthengine.app/view/hispaniola-lc-validation#id=LC278;lat=18.624425331370784;lon=-72.01497011867869;year=2022;bf=40;level=18;"), "landsat_time_series")</f>
        <v>landsat_time_series</v>
      </c>
      <c r="J279" s="3" t="str">
        <f>HYPERLINK(CONCATENATE("https://jstnbraaten.users.earthengine.app/view/landsat-timeseries-explorer#run=true;lon=-72.01497011867869;lat=18.624425331370784;from=01-01;to=12-31;index=NBR;rgb=NIR%2FRED%2FGREEN;chipwidth=1;"), "landsat_chips")</f>
        <v>landsat_chips</v>
      </c>
      <c r="K279" s="3" t="str">
        <f>HYPERLINK(CONCATENATE("https://livingatlas.arcgis.com/wayback/#ext=-72.0159701186787,18.625425331370785,-72.01397011867869,18.623425331370782"), "wayback")</f>
        <v>wayback</v>
      </c>
      <c r="L279" s="2" t="s">
        <v>15</v>
      </c>
      <c r="M279" s="6"/>
      <c r="N279" s="6" t="s">
        <v>15</v>
      </c>
    </row>
    <row r="280" spans="1:14" x14ac:dyDescent="0.35">
      <c r="A280" s="2">
        <v>279</v>
      </c>
      <c r="B280" s="2" t="s">
        <v>427</v>
      </c>
      <c r="C280" s="2" t="s">
        <v>296</v>
      </c>
      <c r="D280" s="2">
        <v>2008</v>
      </c>
      <c r="E280" s="2" t="s">
        <v>10</v>
      </c>
      <c r="F280" s="2">
        <v>28</v>
      </c>
      <c r="G280" s="2">
        <v>18.280116870616961</v>
      </c>
      <c r="H280" s="2">
        <v>-68.654287111743656</v>
      </c>
      <c r="I280" s="3" t="str">
        <f>HYPERLINK(CONCATENATE("https://faluhong.users.earthengine.app/view/hispaniola-lc-validation#id=LC279;lat=18.280116870616958;lon=-68.65428711174366;year=2008;bf=40;level=18;"), "landsat_time_series")</f>
        <v>landsat_time_series</v>
      </c>
      <c r="J280" s="3" t="str">
        <f>HYPERLINK(CONCATENATE("https://jstnbraaten.users.earthengine.app/view/landsat-timeseries-explorer#run=true;lon=-68.65428711174366;lat=18.280116870616958;from=01-01;to=12-31;index=NBR;rgb=NIR%2FRED%2FGREEN;chipwidth=1;"), "landsat_chips")</f>
        <v>landsat_chips</v>
      </c>
      <c r="K280" s="3" t="str">
        <f>HYPERLINK(CONCATENATE("https://livingatlas.arcgis.com/wayback/#ext=-68.65528711174366,18.28111687061696,-68.65328711174365,18.279116870616956"), "wayback")</f>
        <v>wayback</v>
      </c>
      <c r="L280" s="2" t="s">
        <v>18</v>
      </c>
      <c r="M280" s="6"/>
      <c r="N280" s="6" t="s">
        <v>18</v>
      </c>
    </row>
    <row r="281" spans="1:14" x14ac:dyDescent="0.35">
      <c r="A281" s="2">
        <v>280</v>
      </c>
      <c r="B281" s="2" t="s">
        <v>427</v>
      </c>
      <c r="C281" s="2" t="s">
        <v>297</v>
      </c>
      <c r="D281" s="2">
        <v>1997</v>
      </c>
      <c r="E281" s="2" t="s">
        <v>20</v>
      </c>
      <c r="F281" s="2">
        <v>11</v>
      </c>
      <c r="G281" s="2">
        <v>19.2133846405704</v>
      </c>
      <c r="H281" s="2">
        <v>-72.578788222849454</v>
      </c>
      <c r="I281" s="3" t="str">
        <f>HYPERLINK(CONCATENATE("https://faluhong.users.earthengine.app/view/hispaniola-lc-validation#id=LC280;lat=19.213384640570403;lon=-72.57878822284945;year=1997;bf=40;level=18;"), "landsat_time_series")</f>
        <v>landsat_time_series</v>
      </c>
      <c r="J281" s="3" t="str">
        <f>HYPERLINK(CONCATENATE("https://jstnbraaten.users.earthengine.app/view/landsat-timeseries-explorer#run=true;lon=-72.57878822284945;lat=19.213384640570403;from=01-01;to=12-31;index=NBR;rgb=NIR%2FRED%2FGREEN;chipwidth=1;"), "landsat_chips")</f>
        <v>landsat_chips</v>
      </c>
      <c r="K281" s="3" t="str">
        <f>HYPERLINK(CONCATENATE("https://livingatlas.arcgis.com/wayback/#ext=-72.57978822284946,19.214384640570405,-72.57778822284945,19.212384640570402"), "wayback")</f>
        <v>wayback</v>
      </c>
      <c r="L281" s="2" t="s">
        <v>921</v>
      </c>
      <c r="M281" s="6"/>
      <c r="N281" s="6" t="s">
        <v>921</v>
      </c>
    </row>
    <row r="282" spans="1:14" x14ac:dyDescent="0.35">
      <c r="A282" s="2">
        <v>281</v>
      </c>
      <c r="B282" s="2" t="s">
        <v>427</v>
      </c>
      <c r="C282" s="2" t="s">
        <v>298</v>
      </c>
      <c r="D282" s="2">
        <v>1999</v>
      </c>
      <c r="E282" s="2" t="s">
        <v>10</v>
      </c>
      <c r="F282" s="2">
        <v>217</v>
      </c>
      <c r="G282" s="2">
        <v>17.85131422739877</v>
      </c>
      <c r="H282" s="2">
        <v>-71.551416226741082</v>
      </c>
      <c r="I282" s="3" t="str">
        <f>HYPERLINK(CONCATENATE("https://faluhong.users.earthengine.app/view/hispaniola-lc-validation#id=LC281;lat=17.851314227398774;lon=-71.55141622674108;year=1999;bf=40;level=18;"), "landsat_time_series")</f>
        <v>landsat_time_series</v>
      </c>
      <c r="J282" s="3" t="str">
        <f>HYPERLINK(CONCATENATE("https://jstnbraaten.users.earthengine.app/view/landsat-timeseries-explorer#run=true;lon=-71.55141622674108;lat=17.851314227398774;from=01-01;to=12-31;index=NBR;rgb=NIR%2FRED%2FGREEN;chipwidth=1;"), "landsat_chips")</f>
        <v>landsat_chips</v>
      </c>
      <c r="K282" s="3" t="str">
        <f>HYPERLINK(CONCATENATE("https://livingatlas.arcgis.com/wayback/#ext=-71.55241622674109,17.852314227398775,-71.55041622674108,17.850314227398773"), "wayback")</f>
        <v>wayback</v>
      </c>
      <c r="L282" s="2" t="s">
        <v>13</v>
      </c>
      <c r="M282" s="6"/>
      <c r="N282" s="6" t="s">
        <v>21</v>
      </c>
    </row>
    <row r="283" spans="1:14" x14ac:dyDescent="0.35">
      <c r="A283" s="2">
        <v>282</v>
      </c>
      <c r="B283" s="2" t="s">
        <v>427</v>
      </c>
      <c r="C283" s="2" t="s">
        <v>299</v>
      </c>
      <c r="D283" s="2">
        <v>2010</v>
      </c>
      <c r="E283" s="2" t="s">
        <v>10</v>
      </c>
      <c r="F283" s="2">
        <v>-35</v>
      </c>
      <c r="G283" s="2">
        <v>18.549984666687489</v>
      </c>
      <c r="H283" s="2">
        <v>-71.726638317722248</v>
      </c>
      <c r="I283" s="3" t="str">
        <f>HYPERLINK(CONCATENATE("https://faluhong.users.earthengine.app/view/hispaniola-lc-validation#id=LC282;lat=18.54998466668749;lon=-71.72663831772225;year=2010;bf=40;level=18;"), "landsat_time_series")</f>
        <v>landsat_time_series</v>
      </c>
      <c r="J283" s="3" t="str">
        <f>HYPERLINK(CONCATENATE("https://jstnbraaten.users.earthengine.app/view/landsat-timeseries-explorer#run=true;lon=-71.72663831772225;lat=18.54998466668749;from=01-01;to=12-31;index=NBR;rgb=NIR%2FRED%2FGREEN;chipwidth=1;"), "landsat_chips")</f>
        <v>landsat_chips</v>
      </c>
      <c r="K283" s="3" t="str">
        <f>HYPERLINK(CONCATENATE("https://livingatlas.arcgis.com/wayback/#ext=-71.72763831772225,18.55098466668749,-71.72563831772224,18.54898466668749"), "wayback")</f>
        <v>wayback</v>
      </c>
      <c r="L283" s="2" t="s">
        <v>15</v>
      </c>
      <c r="M283" s="6"/>
      <c r="N283" s="6" t="s">
        <v>15</v>
      </c>
    </row>
    <row r="284" spans="1:14" x14ac:dyDescent="0.35">
      <c r="A284" s="2">
        <v>283</v>
      </c>
      <c r="B284" s="2" t="s">
        <v>427</v>
      </c>
      <c r="C284" s="2" t="s">
        <v>300</v>
      </c>
      <c r="D284" s="2">
        <v>2005</v>
      </c>
      <c r="E284" s="2" t="s">
        <v>10</v>
      </c>
      <c r="F284" s="2">
        <v>148</v>
      </c>
      <c r="G284" s="2">
        <v>18.835542700439721</v>
      </c>
      <c r="H284" s="2">
        <v>-69.060114029533153</v>
      </c>
      <c r="I284" s="3" t="str">
        <f>HYPERLINK(CONCATENATE("https://faluhong.users.earthengine.app/view/hispaniola-lc-validation#id=LC283;lat=18.835542700439724;lon=-69.06011402953315;year=2005;bf=40;level=18;"), "landsat_time_series")</f>
        <v>landsat_time_series</v>
      </c>
      <c r="J284" s="3" t="str">
        <f>HYPERLINK(CONCATENATE("https://jstnbraaten.users.earthengine.app/view/landsat-timeseries-explorer#run=true;lon=-69.06011402953315;lat=18.835542700439724;from=01-01;to=12-31;index=NBR;rgb=NIR%2FRED%2FGREEN;chipwidth=1;"), "landsat_chips")</f>
        <v>landsat_chips</v>
      </c>
      <c r="K284" s="3" t="str">
        <f>HYPERLINK(CONCATENATE("https://livingatlas.arcgis.com/wayback/#ext=-69.06111402953316,18.836542700439725,-69.05911402953315,18.834542700439723"), "wayback")</f>
        <v>wayback</v>
      </c>
      <c r="L284" s="2" t="s">
        <v>921</v>
      </c>
      <c r="M284" s="6"/>
      <c r="N284" s="6" t="s">
        <v>921</v>
      </c>
    </row>
    <row r="285" spans="1:14" x14ac:dyDescent="0.35">
      <c r="A285" s="2">
        <v>284</v>
      </c>
      <c r="B285" s="2" t="s">
        <v>427</v>
      </c>
      <c r="C285" s="2" t="s">
        <v>301</v>
      </c>
      <c r="D285" s="2">
        <v>2009</v>
      </c>
      <c r="E285" s="2" t="s">
        <v>10</v>
      </c>
      <c r="F285" s="2">
        <v>1234</v>
      </c>
      <c r="G285" s="2">
        <v>19.060906380340011</v>
      </c>
      <c r="H285" s="2">
        <v>-70.658786434579227</v>
      </c>
      <c r="I285" s="3" t="str">
        <f>HYPERLINK(CONCATENATE("https://faluhong.users.earthengine.app/view/hispaniola-lc-validation#id=LC284;lat=19.060906380340008;lon=-70.65878643457923;year=2009;bf=40;level=18;"), "landsat_time_series")</f>
        <v>landsat_time_series</v>
      </c>
      <c r="J285" s="3" t="str">
        <f>HYPERLINK(CONCATENATE("https://jstnbraaten.users.earthengine.app/view/landsat-timeseries-explorer#run=true;lon=-70.65878643457923;lat=19.060906380340008;from=01-01;to=12-31;index=NBR;rgb=NIR%2FRED%2FGREEN;chipwidth=1;"), "landsat_chips")</f>
        <v>landsat_chips</v>
      </c>
      <c r="K285" s="3" t="str">
        <f>HYPERLINK(CONCATENATE("https://livingatlas.arcgis.com/wayback/#ext=-70.65978643457923,19.06190638034001,-70.65778643457922,19.059906380340006"), "wayback")</f>
        <v>wayback</v>
      </c>
      <c r="L285" s="2" t="s">
        <v>38</v>
      </c>
      <c r="M285" s="6"/>
      <c r="N285" s="6" t="s">
        <v>21</v>
      </c>
    </row>
    <row r="286" spans="1:14" x14ac:dyDescent="0.35">
      <c r="A286" s="2">
        <v>285</v>
      </c>
      <c r="B286" s="2" t="s">
        <v>427</v>
      </c>
      <c r="C286" s="2" t="s">
        <v>302</v>
      </c>
      <c r="D286" s="2">
        <v>2006</v>
      </c>
      <c r="E286" s="2" t="s">
        <v>20</v>
      </c>
      <c r="F286" s="2">
        <v>7</v>
      </c>
      <c r="G286" s="2">
        <v>19.62886380240694</v>
      </c>
      <c r="H286" s="2">
        <v>-73.241446581797518</v>
      </c>
      <c r="I286" s="3" t="str">
        <f>HYPERLINK(CONCATENATE("https://faluhong.users.earthengine.app/view/hispaniola-lc-validation#id=LC285;lat=19.628863802406936;lon=-73.24144658179752;year=2006;bf=40;level=18;"), "landsat_time_series")</f>
        <v>landsat_time_series</v>
      </c>
      <c r="J286" s="3" t="str">
        <f>HYPERLINK(CONCATENATE("https://jstnbraaten.users.earthengine.app/view/landsat-timeseries-explorer#run=true;lon=-73.24144658179752;lat=19.628863802406936;from=01-01;to=12-31;index=NBR;rgb=NIR%2FRED%2FGREEN;chipwidth=1;"), "landsat_chips")</f>
        <v>landsat_chips</v>
      </c>
      <c r="K286" s="3" t="str">
        <f>HYPERLINK(CONCATENATE("https://livingatlas.arcgis.com/wayback/#ext=-73.24244658179752,19.629863802406938,-73.24044658179751,19.627863802406935"), "wayback")</f>
        <v>wayback</v>
      </c>
      <c r="L286" s="2" t="s">
        <v>15</v>
      </c>
      <c r="M286" s="6"/>
      <c r="N286" s="6" t="s">
        <v>15</v>
      </c>
    </row>
    <row r="287" spans="1:14" x14ac:dyDescent="0.35">
      <c r="A287" s="2">
        <v>286</v>
      </c>
      <c r="B287" s="2" t="s">
        <v>427</v>
      </c>
      <c r="C287" s="2" t="s">
        <v>303</v>
      </c>
      <c r="D287" s="2">
        <v>2003</v>
      </c>
      <c r="E287" s="2" t="s">
        <v>10</v>
      </c>
      <c r="F287" s="2">
        <v>120</v>
      </c>
      <c r="G287" s="2">
        <v>18.84805413949211</v>
      </c>
      <c r="H287" s="2">
        <v>-69.730102120811083</v>
      </c>
      <c r="I287" s="3" t="str">
        <f>HYPERLINK(CONCATENATE("https://faluhong.users.earthengine.app/view/hispaniola-lc-validation#id=LC286;lat=18.848054139492113;lon=-69.73010212081108;year=2003;bf=40;level=18;"), "landsat_time_series")</f>
        <v>landsat_time_series</v>
      </c>
      <c r="J287" s="3" t="str">
        <f>HYPERLINK(CONCATENATE("https://jstnbraaten.users.earthengine.app/view/landsat-timeseries-explorer#run=true;lon=-69.73010212081108;lat=18.848054139492113;from=01-01;to=12-31;index=NBR;rgb=NIR%2FRED%2FGREEN;chipwidth=1;"), "landsat_chips")</f>
        <v>landsat_chips</v>
      </c>
      <c r="K287" s="3" t="str">
        <f>HYPERLINK(CONCATENATE("https://livingatlas.arcgis.com/wayback/#ext=-69.73110212081109,18.849054139492115,-69.72910212081108,18.847054139492112"), "wayback")</f>
        <v>wayback</v>
      </c>
      <c r="L287" s="2" t="s">
        <v>21</v>
      </c>
      <c r="M287" s="6"/>
      <c r="N287" s="6" t="s">
        <v>21</v>
      </c>
    </row>
    <row r="288" spans="1:14" x14ac:dyDescent="0.35">
      <c r="A288" s="2">
        <v>287</v>
      </c>
      <c r="B288" s="2" t="s">
        <v>427</v>
      </c>
      <c r="C288" s="2" t="s">
        <v>304</v>
      </c>
      <c r="D288" s="2">
        <v>2013</v>
      </c>
      <c r="E288" s="2" t="s">
        <v>20</v>
      </c>
      <c r="F288" s="2">
        <v>270</v>
      </c>
      <c r="G288" s="2">
        <v>19.80079893689938</v>
      </c>
      <c r="H288" s="2">
        <v>-72.975201526591917</v>
      </c>
      <c r="I288" s="3" t="str">
        <f>HYPERLINK(CONCATENATE("https://faluhong.users.earthengine.app/view/hispaniola-lc-validation#id=LC287;lat=19.80079893689938;lon=-72.97520152659192;year=2013;bf=40;level=18;"), "landsat_time_series")</f>
        <v>landsat_time_series</v>
      </c>
      <c r="J288" s="3" t="str">
        <f>HYPERLINK(CONCATENATE("https://jstnbraaten.users.earthengine.app/view/landsat-timeseries-explorer#run=true;lon=-72.97520152659192;lat=19.80079893689938;from=01-01;to=12-31;index=NBR;rgb=NIR%2FRED%2FGREEN;chipwidth=1;"), "landsat_chips")</f>
        <v>landsat_chips</v>
      </c>
      <c r="K288" s="3" t="str">
        <f>HYPERLINK(CONCATENATE("https://livingatlas.arcgis.com/wayback/#ext=-72.97620152659192,19.80179893689938,-72.97420152659191,19.79979893689938"), "wayback")</f>
        <v>wayback</v>
      </c>
      <c r="L288" s="2" t="s">
        <v>921</v>
      </c>
      <c r="M288" s="6" t="b">
        <v>1</v>
      </c>
      <c r="N288" s="6"/>
    </row>
    <row r="289" spans="1:14" x14ac:dyDescent="0.35">
      <c r="A289" s="2">
        <v>288</v>
      </c>
      <c r="B289" s="2" t="s">
        <v>427</v>
      </c>
      <c r="C289" s="2" t="s">
        <v>305</v>
      </c>
      <c r="D289" s="2">
        <v>2011</v>
      </c>
      <c r="E289" s="2" t="s">
        <v>20</v>
      </c>
      <c r="F289" s="2">
        <v>72</v>
      </c>
      <c r="G289" s="2">
        <v>19.19293102896907</v>
      </c>
      <c r="H289" s="2">
        <v>-72.434833568527196</v>
      </c>
      <c r="I289" s="3" t="str">
        <f>HYPERLINK(CONCATENATE("https://faluhong.users.earthengine.app/view/hispaniola-lc-validation#id=LC288;lat=19.192931028969074;lon=-72.4348335685272;year=2011;bf=40;level=18;"), "landsat_time_series")</f>
        <v>landsat_time_series</v>
      </c>
      <c r="J289" s="3" t="str">
        <f>HYPERLINK(CONCATENATE("https://jstnbraaten.users.earthengine.app/view/landsat-timeseries-explorer#run=true;lon=-72.4348335685272;lat=19.192931028969074;from=01-01;to=12-31;index=NBR;rgb=NIR%2FRED%2FGREEN;chipwidth=1;"), "landsat_chips")</f>
        <v>landsat_chips</v>
      </c>
      <c r="K289" s="3" t="str">
        <f>HYPERLINK(CONCATENATE("https://livingatlas.arcgis.com/wayback/#ext=-72.4358335685272,19.193931028969075,-72.43383356852719,19.191931028969073"), "wayback")</f>
        <v>wayback</v>
      </c>
      <c r="L289" s="2" t="s">
        <v>921</v>
      </c>
      <c r="M289" s="6"/>
      <c r="N289" s="6" t="s">
        <v>921</v>
      </c>
    </row>
    <row r="290" spans="1:14" x14ac:dyDescent="0.35">
      <c r="A290" s="2">
        <v>289</v>
      </c>
      <c r="B290" s="2" t="s">
        <v>427</v>
      </c>
      <c r="C290" s="2" t="s">
        <v>306</v>
      </c>
      <c r="D290" s="2">
        <v>1998</v>
      </c>
      <c r="E290" s="2" t="s">
        <v>10</v>
      </c>
      <c r="F290" s="2">
        <v>186</v>
      </c>
      <c r="G290" s="2">
        <v>17.94688182948795</v>
      </c>
      <c r="H290" s="2">
        <v>-71.573592084221133</v>
      </c>
      <c r="I290" s="3" t="str">
        <f>HYPERLINK(CONCATENATE("https://faluhong.users.earthengine.app/view/hispaniola-lc-validation#id=LC289;lat=17.94688182948795;lon=-71.57359208422113;year=1998;bf=40;level=18;"), "landsat_time_series")</f>
        <v>landsat_time_series</v>
      </c>
      <c r="J290" s="3" t="str">
        <f>HYPERLINK(CONCATENATE("https://jstnbraaten.users.earthengine.app/view/landsat-timeseries-explorer#run=true;lon=-71.57359208422113;lat=17.94688182948795;from=01-01;to=12-31;index=NBR;rgb=NIR%2FRED%2FGREEN;chipwidth=1;"), "landsat_chips")</f>
        <v>landsat_chips</v>
      </c>
      <c r="K290" s="3" t="str">
        <f>HYPERLINK(CONCATENATE("https://livingatlas.arcgis.com/wayback/#ext=-71.57459208422114,17.94788182948795,-71.57259208422113,17.94588182948795"), "wayback")</f>
        <v>wayback</v>
      </c>
      <c r="L290" s="2" t="s">
        <v>13</v>
      </c>
      <c r="M290" s="6"/>
      <c r="N290" s="6" t="s">
        <v>21</v>
      </c>
    </row>
    <row r="291" spans="1:14" x14ac:dyDescent="0.35">
      <c r="A291" s="2">
        <v>290</v>
      </c>
      <c r="B291" s="2" t="s">
        <v>427</v>
      </c>
      <c r="C291" s="2" t="s">
        <v>307</v>
      </c>
      <c r="D291" s="2">
        <v>2004</v>
      </c>
      <c r="E291" s="2" t="s">
        <v>10</v>
      </c>
      <c r="F291" s="2">
        <v>225</v>
      </c>
      <c r="G291" s="2">
        <v>18.929773990061541</v>
      </c>
      <c r="H291" s="2">
        <v>-68.922066048866441</v>
      </c>
      <c r="I291" s="3" t="str">
        <f>HYPERLINK(CONCATENATE("https://faluhong.users.earthengine.app/view/hispaniola-lc-validation#id=LC290;lat=18.929773990061545;lon=-68.92206604886644;year=2004;bf=40;level=18;"), "landsat_time_series")</f>
        <v>landsat_time_series</v>
      </c>
      <c r="J291" s="3" t="str">
        <f>HYPERLINK(CONCATENATE("https://jstnbraaten.users.earthengine.app/view/landsat-timeseries-explorer#run=true;lon=-68.92206604886644;lat=18.929773990061545;from=01-01;to=12-31;index=NBR;rgb=NIR%2FRED%2FGREEN;chipwidth=1;"), "landsat_chips")</f>
        <v>landsat_chips</v>
      </c>
      <c r="K291" s="3" t="str">
        <f>HYPERLINK(CONCATENATE("https://livingatlas.arcgis.com/wayback/#ext=-68.92306604886645,18.930773990061546,-68.92106604886644,18.928773990061543"), "wayback")</f>
        <v>wayback</v>
      </c>
      <c r="L291" s="2" t="s">
        <v>21</v>
      </c>
      <c r="M291" s="6" t="b">
        <v>1</v>
      </c>
      <c r="N291" s="6"/>
    </row>
    <row r="292" spans="1:14" x14ac:dyDescent="0.35">
      <c r="A292" s="2">
        <v>291</v>
      </c>
      <c r="B292" s="2" t="s">
        <v>428</v>
      </c>
      <c r="C292" s="2" t="s">
        <v>308</v>
      </c>
      <c r="D292" s="2">
        <v>2004</v>
      </c>
      <c r="E292" s="2" t="s">
        <v>10</v>
      </c>
      <c r="F292" s="2">
        <v>1567</v>
      </c>
      <c r="G292" s="2">
        <v>19.065802074694819</v>
      </c>
      <c r="H292" s="2">
        <v>-70.904313250778728</v>
      </c>
      <c r="I292" s="3" t="str">
        <f>HYPERLINK(CONCATENATE("https://faluhong.users.earthengine.app/view/hispaniola-lc-validation#id=LC291;lat=19.065802074694815;lon=-70.90431325077873;year=2004;bf=40;level=18;"), "landsat_time_series")</f>
        <v>landsat_time_series</v>
      </c>
      <c r="J292" s="3" t="str">
        <f>HYPERLINK(CONCATENATE("https://jstnbraaten.users.earthengine.app/view/landsat-timeseries-explorer#run=true;lon=-70.90431325077873;lat=19.065802074694815;from=01-01;to=12-31;index=NBR;rgb=NIR%2FRED%2FGREEN;chipwidth=1;"), "landsat_chips")</f>
        <v>landsat_chips</v>
      </c>
      <c r="K292" s="3" t="str">
        <f>HYPERLINK(CONCATENATE("https://livingatlas.arcgis.com/wayback/#ext=-70.90531325077873,19.066802074694817,-70.90331325077872,19.064802074694814"), "wayback")</f>
        <v>wayback</v>
      </c>
      <c r="L292" s="2" t="s">
        <v>38</v>
      </c>
      <c r="M292" s="5"/>
      <c r="N292" s="5" t="s">
        <v>38</v>
      </c>
    </row>
    <row r="293" spans="1:14" x14ac:dyDescent="0.35">
      <c r="A293" s="2">
        <v>292</v>
      </c>
      <c r="B293" s="2" t="s">
        <v>428</v>
      </c>
      <c r="C293" s="2" t="s">
        <v>309</v>
      </c>
      <c r="D293" s="2">
        <v>2016</v>
      </c>
      <c r="E293" s="2" t="s">
        <v>20</v>
      </c>
      <c r="F293" s="2">
        <v>2</v>
      </c>
      <c r="G293" s="2">
        <v>18.722308698625149</v>
      </c>
      <c r="H293" s="2">
        <v>-72.835588896534986</v>
      </c>
      <c r="I293" s="3" t="str">
        <f>HYPERLINK(CONCATENATE("https://faluhong.users.earthengine.app/view/hispaniola-lc-validation#id=LC292;lat=18.722308698625145;lon=-72.83558889653499;year=2016;bf=40;level=18;"), "landsat_time_series")</f>
        <v>landsat_time_series</v>
      </c>
      <c r="J293" s="3" t="str">
        <f>HYPERLINK(CONCATENATE("https://jstnbraaten.users.earthengine.app/view/landsat-timeseries-explorer#run=true;lon=-72.83558889653499;lat=18.722308698625145;from=01-01;to=12-31;index=NBR;rgb=NIR%2FRED%2FGREEN;chipwidth=1;"), "landsat_chips")</f>
        <v>landsat_chips</v>
      </c>
      <c r="K293" s="3" t="str">
        <f>HYPERLINK(CONCATENATE("https://livingatlas.arcgis.com/wayback/#ext=-72.83658889653499,18.723308698625146,-72.83458889653498,18.721308698625144"), "wayback")</f>
        <v>wayback</v>
      </c>
      <c r="L293" s="2" t="s">
        <v>24</v>
      </c>
      <c r="M293" s="5"/>
      <c r="N293" s="5" t="s">
        <v>24</v>
      </c>
    </row>
    <row r="294" spans="1:14" x14ac:dyDescent="0.35">
      <c r="A294" s="2">
        <v>293</v>
      </c>
      <c r="B294" s="2" t="s">
        <v>428</v>
      </c>
      <c r="C294" s="2" t="s">
        <v>310</v>
      </c>
      <c r="D294" s="2">
        <v>2021</v>
      </c>
      <c r="E294" s="2" t="s">
        <v>10</v>
      </c>
      <c r="F294" s="2">
        <v>13</v>
      </c>
      <c r="G294" s="2">
        <v>18.135762972917451</v>
      </c>
      <c r="H294" s="2">
        <v>-68.579885021046877</v>
      </c>
      <c r="I294" s="3" t="str">
        <f>HYPERLINK(CONCATENATE("https://faluhong.users.earthengine.app/view/hispaniola-lc-validation#id=LC293;lat=18.135762972917448;lon=-68.57988502104688;year=2021;bf=40;level=18;"), "landsat_time_series")</f>
        <v>landsat_time_series</v>
      </c>
      <c r="J294" s="3" t="str">
        <f>HYPERLINK(CONCATENATE("https://jstnbraaten.users.earthengine.app/view/landsat-timeseries-explorer#run=true;lon=-68.57988502104688;lat=18.135762972917448;from=01-01;to=12-31;index=NBR;rgb=NIR%2FRED%2FGREEN;chipwidth=1;"), "landsat_chips")</f>
        <v>landsat_chips</v>
      </c>
      <c r="K294" s="3" t="str">
        <f>HYPERLINK(CONCATENATE("https://livingatlas.arcgis.com/wayback/#ext=-68.58088502104688,18.13676297291745,-68.57888502104687,18.134762972917446"), "wayback")</f>
        <v>wayback</v>
      </c>
      <c r="L294" s="2" t="s">
        <v>18</v>
      </c>
      <c r="M294" s="5"/>
      <c r="N294" s="5" t="s">
        <v>18</v>
      </c>
    </row>
    <row r="295" spans="1:14" x14ac:dyDescent="0.35">
      <c r="A295" s="2">
        <v>294</v>
      </c>
      <c r="B295" s="2" t="s">
        <v>428</v>
      </c>
      <c r="C295" s="2" t="s">
        <v>311</v>
      </c>
      <c r="D295" s="2">
        <v>2003</v>
      </c>
      <c r="E295" s="2" t="s">
        <v>10</v>
      </c>
      <c r="F295" s="2">
        <v>1788</v>
      </c>
      <c r="G295" s="2">
        <v>19.184026114181229</v>
      </c>
      <c r="H295" s="2">
        <v>-71.049365843268262</v>
      </c>
      <c r="I295" s="3" t="str">
        <f>HYPERLINK(CONCATENATE("https://faluhong.users.earthengine.app/view/hispaniola-lc-validation#id=LC294;lat=19.18402611418123;lon=-71.04936584326826;year=2003;bf=40;level=18;"), "landsat_time_series")</f>
        <v>landsat_time_series</v>
      </c>
      <c r="J295" s="3" t="str">
        <f>HYPERLINK(CONCATENATE("https://jstnbraaten.users.earthengine.app/view/landsat-timeseries-explorer#run=true;lon=-71.04936584326826;lat=19.18402611418123;from=01-01;to=12-31;index=NBR;rgb=NIR%2FRED%2FGREEN;chipwidth=1;"), "landsat_chips")</f>
        <v>landsat_chips</v>
      </c>
      <c r="K295" s="3" t="str">
        <f>HYPERLINK(CONCATENATE("https://livingatlas.arcgis.com/wayback/#ext=-71.05036584326827,19.18502611418123,-71.04836584326826,19.183026114181228"), "wayback")</f>
        <v>wayback</v>
      </c>
      <c r="L295" s="2" t="s">
        <v>38</v>
      </c>
      <c r="M295" s="5"/>
      <c r="N295" s="5" t="s">
        <v>38</v>
      </c>
    </row>
    <row r="296" spans="1:14" x14ac:dyDescent="0.35">
      <c r="A296" s="2">
        <v>295</v>
      </c>
      <c r="B296" s="2" t="s">
        <v>428</v>
      </c>
      <c r="C296" s="2" t="s">
        <v>312</v>
      </c>
      <c r="D296" s="2">
        <v>1999</v>
      </c>
      <c r="E296" s="2" t="s">
        <v>20</v>
      </c>
      <c r="F296" s="2">
        <v>5</v>
      </c>
      <c r="G296" s="2">
        <v>19.712022052934209</v>
      </c>
      <c r="H296" s="2">
        <v>-72.08036323937192</v>
      </c>
      <c r="I296" s="3" t="str">
        <f>HYPERLINK(CONCATENATE("https://faluhong.users.earthengine.app/view/hispaniola-lc-validation#id=LC295;lat=19.71202205293421;lon=-72.08036323937192;year=1999;bf=40;level=18;"), "landsat_time_series")</f>
        <v>landsat_time_series</v>
      </c>
      <c r="J296" s="3" t="str">
        <f>HYPERLINK(CONCATENATE("https://jstnbraaten.users.earthengine.app/view/landsat-timeseries-explorer#run=true;lon=-72.08036323937192;lat=19.71202205293421;from=01-01;to=12-31;index=NBR;rgb=NIR%2FRED%2FGREEN;chipwidth=1;"), "landsat_chips")</f>
        <v>landsat_chips</v>
      </c>
      <c r="K296" s="3" t="str">
        <f>HYPERLINK(CONCATENATE("https://livingatlas.arcgis.com/wayback/#ext=-72.08136323937192,19.71302205293421,-72.07936323937192,19.711022052934208"), "wayback")</f>
        <v>wayback</v>
      </c>
      <c r="L296" s="2" t="s">
        <v>24</v>
      </c>
      <c r="M296" s="5"/>
      <c r="N296" s="5" t="s">
        <v>15</v>
      </c>
    </row>
    <row r="297" spans="1:14" x14ac:dyDescent="0.35">
      <c r="A297" s="2">
        <v>296</v>
      </c>
      <c r="B297" s="2" t="s">
        <v>428</v>
      </c>
      <c r="C297" s="2" t="s">
        <v>313</v>
      </c>
      <c r="D297" s="2">
        <v>2018</v>
      </c>
      <c r="E297" s="2" t="s">
        <v>10</v>
      </c>
      <c r="F297" s="2">
        <v>-33</v>
      </c>
      <c r="G297" s="2">
        <v>18.419722125308951</v>
      </c>
      <c r="H297" s="2">
        <v>-71.506616035353758</v>
      </c>
      <c r="I297" s="3" t="str">
        <f>HYPERLINK(CONCATENATE("https://faluhong.users.earthengine.app/view/hispaniola-lc-validation#id=LC296;lat=18.41972212530895;lon=-71.50661603535376;year=2018;bf=40;level=18;"), "landsat_time_series")</f>
        <v>landsat_time_series</v>
      </c>
      <c r="J297" s="3" t="str">
        <f>HYPERLINK(CONCATENATE("https://jstnbraaten.users.earthengine.app/view/landsat-timeseries-explorer#run=true;lon=-71.50661603535376;lat=18.41972212530895;from=01-01;to=12-31;index=NBR;rgb=NIR%2FRED%2FGREEN;chipwidth=1;"), "landsat_chips")</f>
        <v>landsat_chips</v>
      </c>
      <c r="K297" s="3" t="str">
        <f>HYPERLINK(CONCATENATE("https://livingatlas.arcgis.com/wayback/#ext=-71.50761603535376,18.420722125308952,-71.50561603535375,18.41872212530895"), "wayback")</f>
        <v>wayback</v>
      </c>
      <c r="L297" s="2" t="s">
        <v>15</v>
      </c>
      <c r="M297" s="5"/>
      <c r="N297" s="5" t="s">
        <v>15</v>
      </c>
    </row>
    <row r="298" spans="1:14" x14ac:dyDescent="0.35">
      <c r="A298" s="2">
        <v>297</v>
      </c>
      <c r="B298" s="2" t="s">
        <v>428</v>
      </c>
      <c r="C298" s="2" t="s">
        <v>314</v>
      </c>
      <c r="D298" s="2">
        <v>2022</v>
      </c>
      <c r="E298" s="2" t="s">
        <v>10</v>
      </c>
      <c r="F298" s="2">
        <v>771</v>
      </c>
      <c r="G298" s="2">
        <v>19.206378437947439</v>
      </c>
      <c r="H298" s="2">
        <v>-71.549404654140332</v>
      </c>
      <c r="I298" s="3" t="str">
        <f>HYPERLINK(CONCATENATE("https://faluhong.users.earthengine.app/view/hispaniola-lc-validation#id=LC297;lat=19.206378437947436;lon=-71.54940465414033;year=2022;bf=40;level=18;"), "landsat_time_series")</f>
        <v>landsat_time_series</v>
      </c>
      <c r="J298" s="3" t="str">
        <f>HYPERLINK(CONCATENATE("https://jstnbraaten.users.earthengine.app/view/landsat-timeseries-explorer#run=true;lon=-71.54940465414033;lat=19.206378437947436;from=01-01;to=12-31;index=NBR;rgb=NIR%2FRED%2FGREEN;chipwidth=1;"), "landsat_chips")</f>
        <v>landsat_chips</v>
      </c>
      <c r="K298" s="3" t="str">
        <f>HYPERLINK(CONCATENATE("https://livingatlas.arcgis.com/wayback/#ext=-71.55040465414034,19.207378437947437,-71.54840465414033,19.205378437947434"), "wayback")</f>
        <v>wayback</v>
      </c>
      <c r="L298" s="2" t="s">
        <v>21</v>
      </c>
      <c r="M298" s="5"/>
      <c r="N298" s="5" t="s">
        <v>21</v>
      </c>
    </row>
    <row r="299" spans="1:14" x14ac:dyDescent="0.35">
      <c r="A299" s="2">
        <v>298</v>
      </c>
      <c r="B299" s="2" t="s">
        <v>428</v>
      </c>
      <c r="C299" s="2" t="s">
        <v>315</v>
      </c>
      <c r="D299" s="2">
        <v>2009</v>
      </c>
      <c r="E299" s="2" t="s">
        <v>10</v>
      </c>
      <c r="F299" s="2">
        <v>264</v>
      </c>
      <c r="G299" s="2">
        <v>18.560631121991811</v>
      </c>
      <c r="H299" s="2">
        <v>-71.607259649404838</v>
      </c>
      <c r="I299" s="3" t="str">
        <f>HYPERLINK(CONCATENATE("https://faluhong.users.earthengine.app/view/hispaniola-lc-validation#id=LC298;lat=18.560631121991815;lon=-71.60725964940484;year=2009;bf=40;level=18;"), "landsat_time_series")</f>
        <v>landsat_time_series</v>
      </c>
      <c r="J299" s="3" t="str">
        <f>HYPERLINK(CONCATENATE("https://jstnbraaten.users.earthengine.app/view/landsat-timeseries-explorer#run=true;lon=-71.60725964940484;lat=18.560631121991815;from=01-01;to=12-31;index=NBR;rgb=NIR%2FRED%2FGREEN;chipwidth=1;"), "landsat_chips")</f>
        <v>landsat_chips</v>
      </c>
      <c r="K299" s="3" t="str">
        <f>HYPERLINK(CONCATENATE("https://livingatlas.arcgis.com/wayback/#ext=-71.60825964940484,18.561631121991816,-71.60625964940483,18.559631121991814"), "wayback")</f>
        <v>wayback</v>
      </c>
      <c r="L299" s="2" t="s">
        <v>921</v>
      </c>
      <c r="M299" s="5"/>
      <c r="N299" s="5" t="s">
        <v>21</v>
      </c>
    </row>
    <row r="300" spans="1:14" x14ac:dyDescent="0.35">
      <c r="A300" s="2">
        <v>299</v>
      </c>
      <c r="B300" s="2" t="s">
        <v>428</v>
      </c>
      <c r="C300" s="2" t="s">
        <v>316</v>
      </c>
      <c r="D300" s="2">
        <v>1998</v>
      </c>
      <c r="E300" s="2" t="s">
        <v>10</v>
      </c>
      <c r="F300" s="2">
        <v>1</v>
      </c>
      <c r="G300" s="2">
        <v>19.760935161896601</v>
      </c>
      <c r="H300" s="2">
        <v>-71.708278653731853</v>
      </c>
      <c r="I300" s="3" t="str">
        <f>HYPERLINK(CONCATENATE("https://faluhong.users.earthengine.app/view/hispaniola-lc-validation#id=LC299;lat=19.760935161896604;lon=-71.70827865373185;year=1998;bf=40;level=18;"), "landsat_time_series")</f>
        <v>landsat_time_series</v>
      </c>
      <c r="J300" s="3" t="str">
        <f>HYPERLINK(CONCATENATE("https://jstnbraaten.users.earthengine.app/view/landsat-timeseries-explorer#run=true;lon=-71.70827865373185;lat=19.760935161896604;from=01-01;to=12-31;index=NBR;rgb=NIR%2FRED%2FGREEN;chipwidth=1;"), "landsat_chips")</f>
        <v>landsat_chips</v>
      </c>
      <c r="K300" s="3" t="str">
        <f>HYPERLINK(CONCATENATE("https://livingatlas.arcgis.com/wayback/#ext=-71.70927865373186,19.761935161896606,-71.70727865373185,19.759935161896603"), "wayback")</f>
        <v>wayback</v>
      </c>
      <c r="L300" s="2" t="s">
        <v>921</v>
      </c>
      <c r="M300" s="5"/>
      <c r="N300" s="5" t="s">
        <v>24</v>
      </c>
    </row>
    <row r="301" spans="1:14" x14ac:dyDescent="0.35">
      <c r="A301" s="2">
        <v>300</v>
      </c>
      <c r="B301" s="2" t="s">
        <v>428</v>
      </c>
      <c r="C301" s="2" t="s">
        <v>317</v>
      </c>
      <c r="D301" s="2">
        <v>2005</v>
      </c>
      <c r="E301" s="2" t="s">
        <v>20</v>
      </c>
      <c r="F301" s="2">
        <v>816</v>
      </c>
      <c r="G301" s="2">
        <v>19.474539994330911</v>
      </c>
      <c r="H301" s="2">
        <v>-72.160683453839269</v>
      </c>
      <c r="I301" s="3" t="str">
        <f>HYPERLINK(CONCATENATE("https://faluhong.users.earthengine.app/view/hispaniola-lc-validation#id=LC300;lat=19.47453999433091;lon=-72.16068345383927;year=2005;bf=40;level=18;"), "landsat_time_series")</f>
        <v>landsat_time_series</v>
      </c>
      <c r="J301" s="3" t="str">
        <f>HYPERLINK(CONCATENATE("https://jstnbraaten.users.earthengine.app/view/landsat-timeseries-explorer#run=true;lon=-72.16068345383927;lat=19.47453999433091;from=01-01;to=12-31;index=NBR;rgb=NIR%2FRED%2FGREEN;chipwidth=1;"), "landsat_chips")</f>
        <v>landsat_chips</v>
      </c>
      <c r="K301" s="3" t="str">
        <f>HYPERLINK(CONCATENATE("https://livingatlas.arcgis.com/wayback/#ext=-72.16168345383927,19.475539994330912,-72.15968345383926,19.47353999433091"), "wayback")</f>
        <v>wayback</v>
      </c>
      <c r="L301" s="2" t="s">
        <v>921</v>
      </c>
      <c r="M301" s="5" t="b">
        <v>1</v>
      </c>
      <c r="N301" s="5"/>
    </row>
    <row r="302" spans="1:14" x14ac:dyDescent="0.35">
      <c r="A302" s="2">
        <v>301</v>
      </c>
      <c r="B302" s="2" t="s">
        <v>428</v>
      </c>
      <c r="C302" s="2" t="s">
        <v>318</v>
      </c>
      <c r="D302" s="2">
        <v>2010</v>
      </c>
      <c r="E302" s="2" t="s">
        <v>20</v>
      </c>
      <c r="F302" s="2">
        <v>4</v>
      </c>
      <c r="G302" s="2">
        <v>19.72184459214877</v>
      </c>
      <c r="H302" s="2">
        <v>-72.078145952359236</v>
      </c>
      <c r="I302" s="3" t="str">
        <f>HYPERLINK(CONCATENATE("https://faluhong.users.earthengine.app/view/hispaniola-lc-validation#id=LC301;lat=19.72184459214877;lon=-72.07814595235924;year=2010;bf=40;level=18;"), "landsat_time_series")</f>
        <v>landsat_time_series</v>
      </c>
      <c r="J302" s="3" t="str">
        <f>HYPERLINK(CONCATENATE("https://jstnbraaten.users.earthengine.app/view/landsat-timeseries-explorer#run=true;lon=-72.07814595235924;lat=19.72184459214877;from=01-01;to=12-31;index=NBR;rgb=NIR%2FRED%2FGREEN;chipwidth=1;"), "landsat_chips")</f>
        <v>landsat_chips</v>
      </c>
      <c r="K302" s="3" t="str">
        <f>HYPERLINK(CONCATENATE("https://livingatlas.arcgis.com/wayback/#ext=-72.07914595235924,19.72284459214877,-72.07714595235923,19.72084459214877"), "wayback")</f>
        <v>wayback</v>
      </c>
      <c r="L302" s="2" t="s">
        <v>24</v>
      </c>
      <c r="M302" s="5"/>
      <c r="N302" s="5" t="s">
        <v>24</v>
      </c>
    </row>
    <row r="303" spans="1:14" x14ac:dyDescent="0.35">
      <c r="A303" s="2">
        <v>302</v>
      </c>
      <c r="B303" s="2" t="s">
        <v>428</v>
      </c>
      <c r="C303" s="2" t="s">
        <v>319</v>
      </c>
      <c r="D303" s="2">
        <v>1997</v>
      </c>
      <c r="E303" s="2" t="s">
        <v>10</v>
      </c>
      <c r="F303" s="2">
        <v>379</v>
      </c>
      <c r="G303" s="2">
        <v>18.859229556143411</v>
      </c>
      <c r="H303" s="2">
        <v>-69.414082806569368</v>
      </c>
      <c r="I303" s="3" t="str">
        <f>HYPERLINK(CONCATENATE("https://faluhong.users.earthengine.app/view/hispaniola-lc-validation#id=LC302;lat=18.85922955614341;lon=-69.41408280656937;year=1997;bf=40;level=18;"), "landsat_time_series")</f>
        <v>landsat_time_series</v>
      </c>
      <c r="J303" s="3" t="str">
        <f>HYPERLINK(CONCATENATE("https://jstnbraaten.users.earthengine.app/view/landsat-timeseries-explorer#run=true;lon=-69.41408280656937;lat=18.85922955614341;from=01-01;to=12-31;index=NBR;rgb=NIR%2FRED%2FGREEN;chipwidth=1;"), "landsat_chips")</f>
        <v>landsat_chips</v>
      </c>
      <c r="K303" s="3" t="str">
        <f>HYPERLINK(CONCATENATE("https://livingatlas.arcgis.com/wayback/#ext=-69.41508280656937,18.860229556143413,-69.41308280656936,18.85822955614341"), "wayback")</f>
        <v>wayback</v>
      </c>
      <c r="L303" s="2" t="s">
        <v>921</v>
      </c>
      <c r="M303" s="5"/>
      <c r="N303" s="5" t="s">
        <v>921</v>
      </c>
    </row>
    <row r="304" spans="1:14" x14ac:dyDescent="0.35">
      <c r="A304" s="2">
        <v>303</v>
      </c>
      <c r="B304" s="2" t="s">
        <v>428</v>
      </c>
      <c r="C304" s="2" t="s">
        <v>320</v>
      </c>
      <c r="D304" s="2">
        <v>1998</v>
      </c>
      <c r="E304" s="2" t="s">
        <v>10</v>
      </c>
      <c r="F304" s="2">
        <v>431</v>
      </c>
      <c r="G304" s="2">
        <v>18.78553640819846</v>
      </c>
      <c r="H304" s="2">
        <v>-71.057481765723878</v>
      </c>
      <c r="I304" s="3" t="str">
        <f>HYPERLINK(CONCATENATE("https://faluhong.users.earthengine.app/view/hispaniola-lc-validation#id=LC303;lat=18.78553640819846;lon=-71.05748176572388;year=1998;bf=40;level=18;"), "landsat_time_series")</f>
        <v>landsat_time_series</v>
      </c>
      <c r="J304" s="3" t="str">
        <f>HYPERLINK(CONCATENATE("https://jstnbraaten.users.earthengine.app/view/landsat-timeseries-explorer#run=true;lon=-71.05748176572388;lat=18.78553640819846;from=01-01;to=12-31;index=NBR;rgb=NIR%2FRED%2FGREEN;chipwidth=1;"), "landsat_chips")</f>
        <v>landsat_chips</v>
      </c>
      <c r="K304" s="3" t="str">
        <f>HYPERLINK(CONCATENATE("https://livingatlas.arcgis.com/wayback/#ext=-71.05848176572388,18.78653640819846,-71.05648176572387,18.78453640819846"), "wayback")</f>
        <v>wayback</v>
      </c>
      <c r="L304" s="2" t="s">
        <v>921</v>
      </c>
      <c r="M304" s="5"/>
      <c r="N304" s="5" t="s">
        <v>921</v>
      </c>
    </row>
    <row r="305" spans="1:14" x14ac:dyDescent="0.35">
      <c r="A305" s="2">
        <v>304</v>
      </c>
      <c r="B305" s="2" t="s">
        <v>428</v>
      </c>
      <c r="C305" s="2" t="s">
        <v>321</v>
      </c>
      <c r="D305" s="2">
        <v>2013</v>
      </c>
      <c r="E305" s="2" t="s">
        <v>20</v>
      </c>
      <c r="F305" s="2">
        <v>141</v>
      </c>
      <c r="G305" s="2">
        <v>19.660710683298952</v>
      </c>
      <c r="H305" s="2">
        <v>-72.359393723787917</v>
      </c>
      <c r="I305" s="3" t="str">
        <f>HYPERLINK(CONCATENATE("https://faluhong.users.earthengine.app/view/hispaniola-lc-validation#id=LC304;lat=19.66071068329895;lon=-72.35939372378792;year=2013;bf=40;level=18;"), "landsat_time_series")</f>
        <v>landsat_time_series</v>
      </c>
      <c r="J305" s="3" t="str">
        <f>HYPERLINK(CONCATENATE("https://jstnbraaten.users.earthengine.app/view/landsat-timeseries-explorer#run=true;lon=-72.35939372378792;lat=19.66071068329895;from=01-01;to=12-31;index=NBR;rgb=NIR%2FRED%2FGREEN;chipwidth=1;"), "landsat_chips")</f>
        <v>landsat_chips</v>
      </c>
      <c r="K305" s="3" t="str">
        <f>HYPERLINK(CONCATENATE("https://livingatlas.arcgis.com/wayback/#ext=-72.36039372378792,19.661710683298953,-72.35839372378791,19.65971068329895"), "wayback")</f>
        <v>wayback</v>
      </c>
      <c r="L305" s="2" t="s">
        <v>921</v>
      </c>
      <c r="M305" s="5"/>
      <c r="N305" s="5" t="s">
        <v>921</v>
      </c>
    </row>
    <row r="306" spans="1:14" x14ac:dyDescent="0.35">
      <c r="A306" s="2">
        <v>305</v>
      </c>
      <c r="B306" s="2" t="s">
        <v>428</v>
      </c>
      <c r="C306" s="2" t="s">
        <v>322</v>
      </c>
      <c r="D306" s="2">
        <v>2007</v>
      </c>
      <c r="E306" s="2" t="s">
        <v>10</v>
      </c>
      <c r="F306" s="2">
        <v>1489</v>
      </c>
      <c r="G306" s="2">
        <v>18.121864225186179</v>
      </c>
      <c r="H306" s="2">
        <v>-71.199252972341085</v>
      </c>
      <c r="I306" s="3" t="str">
        <f>HYPERLINK(CONCATENATE("https://faluhong.users.earthengine.app/view/hispaniola-lc-validation#id=LC305;lat=18.12186422518618;lon=-71.19925297234109;year=2007;bf=40;level=18;"), "landsat_time_series")</f>
        <v>landsat_time_series</v>
      </c>
      <c r="J306" s="3" t="str">
        <f>HYPERLINK(CONCATENATE("https://jstnbraaten.users.earthengine.app/view/landsat-timeseries-explorer#run=true;lon=-71.19925297234109;lat=18.12186422518618;from=01-01;to=12-31;index=NBR;rgb=NIR%2FRED%2FGREEN;chipwidth=1;"), "landsat_chips")</f>
        <v>landsat_chips</v>
      </c>
      <c r="K306" s="3" t="str">
        <f>HYPERLINK(CONCATENATE("https://livingatlas.arcgis.com/wayback/#ext=-71.20025297234109,18.12286422518618,-71.19825297234108,18.12086422518618"), "wayback")</f>
        <v>wayback</v>
      </c>
      <c r="L306" s="2" t="s">
        <v>38</v>
      </c>
      <c r="M306" s="5"/>
      <c r="N306" s="5" t="s">
        <v>38</v>
      </c>
    </row>
    <row r="307" spans="1:14" x14ac:dyDescent="0.35">
      <c r="A307" s="2">
        <v>306</v>
      </c>
      <c r="B307" s="2" t="s">
        <v>428</v>
      </c>
      <c r="C307" s="2" t="s">
        <v>323</v>
      </c>
      <c r="D307" s="2">
        <v>2019</v>
      </c>
      <c r="E307" s="2" t="s">
        <v>20</v>
      </c>
      <c r="F307" s="2">
        <v>17</v>
      </c>
      <c r="G307" s="2">
        <v>19.684205431532391</v>
      </c>
      <c r="H307" s="2">
        <v>-71.815498747381284</v>
      </c>
      <c r="I307" s="3" t="str">
        <f>HYPERLINK(CONCATENATE("https://faluhong.users.earthengine.app/view/hispaniola-lc-validation#id=LC306;lat=19.68420543153239;lon=-71.81549874738128;year=2019;bf=40;level=18;"), "landsat_time_series")</f>
        <v>landsat_time_series</v>
      </c>
      <c r="J307" s="3" t="str">
        <f>HYPERLINK(CONCATENATE("https://jstnbraaten.users.earthengine.app/view/landsat-timeseries-explorer#run=true;lon=-71.81549874738128;lat=19.68420543153239;from=01-01;to=12-31;index=NBR;rgb=NIR%2FRED%2FGREEN;chipwidth=1;"), "landsat_chips")</f>
        <v>landsat_chips</v>
      </c>
      <c r="K307" s="3" t="str">
        <f>HYPERLINK(CONCATENATE("https://livingatlas.arcgis.com/wayback/#ext=-71.81649874738129,19.685205431532392,-71.81449874738128,19.68320543153239"), "wayback")</f>
        <v>wayback</v>
      </c>
      <c r="L307" s="2" t="s">
        <v>921</v>
      </c>
      <c r="M307" s="5"/>
      <c r="N307" s="5" t="s">
        <v>13</v>
      </c>
    </row>
    <row r="308" spans="1:14" x14ac:dyDescent="0.35">
      <c r="A308" s="2">
        <v>307</v>
      </c>
      <c r="B308" s="2" t="s">
        <v>428</v>
      </c>
      <c r="C308" s="2" t="s">
        <v>324</v>
      </c>
      <c r="D308" s="2">
        <v>2000</v>
      </c>
      <c r="E308" s="2" t="s">
        <v>10</v>
      </c>
      <c r="F308" s="2">
        <v>703</v>
      </c>
      <c r="G308" s="2">
        <v>18.54179710920128</v>
      </c>
      <c r="H308" s="2">
        <v>-71.301873778933214</v>
      </c>
      <c r="I308" s="3" t="str">
        <f>HYPERLINK(CONCATENATE("https://faluhong.users.earthengine.app/view/hispaniola-lc-validation#id=LC307;lat=18.541797109201283;lon=-71.30187377893321;year=2000;bf=40;level=18;"), "landsat_time_series")</f>
        <v>landsat_time_series</v>
      </c>
      <c r="J308" s="3" t="str">
        <f>HYPERLINK(CONCATENATE("https://jstnbraaten.users.earthengine.app/view/landsat-timeseries-explorer#run=true;lon=-71.30187377893321;lat=18.541797109201283;from=01-01;to=12-31;index=NBR;rgb=NIR%2FRED%2FGREEN;chipwidth=1;"), "landsat_chips")</f>
        <v>landsat_chips</v>
      </c>
      <c r="K308" s="3" t="str">
        <f>HYPERLINK(CONCATENATE("https://livingatlas.arcgis.com/wayback/#ext=-71.30287377893322,18.542797109201285,-71.30087377893321,18.540797109201282"), "wayback")</f>
        <v>wayback</v>
      </c>
      <c r="L308" s="2" t="s">
        <v>21</v>
      </c>
      <c r="M308" s="5" t="b">
        <v>1</v>
      </c>
      <c r="N308" s="5" t="s">
        <v>21</v>
      </c>
    </row>
    <row r="309" spans="1:14" x14ac:dyDescent="0.35">
      <c r="A309" s="2">
        <v>308</v>
      </c>
      <c r="B309" s="2" t="s">
        <v>428</v>
      </c>
      <c r="C309" s="2" t="s">
        <v>325</v>
      </c>
      <c r="D309" s="2">
        <v>2022</v>
      </c>
      <c r="E309" s="2" t="s">
        <v>10</v>
      </c>
      <c r="F309" s="2">
        <v>20</v>
      </c>
      <c r="G309" s="2">
        <v>19.82951368135285</v>
      </c>
      <c r="H309" s="2">
        <v>-70.790205435745989</v>
      </c>
      <c r="I309" s="3" t="str">
        <f>HYPERLINK(CONCATENATE("https://faluhong.users.earthengine.app/view/hispaniola-lc-validation#id=LC308;lat=19.829513681352847;lon=-70.79020543574599;year=2022;bf=40;level=18;"), "landsat_time_series")</f>
        <v>landsat_time_series</v>
      </c>
      <c r="J309" s="3" t="str">
        <f>HYPERLINK(CONCATENATE("https://jstnbraaten.users.earthengine.app/view/landsat-timeseries-explorer#run=true;lon=-70.79020543574599;lat=19.829513681352847;from=01-01;to=12-31;index=NBR;rgb=NIR%2FRED%2FGREEN;chipwidth=1;"), "landsat_chips")</f>
        <v>landsat_chips</v>
      </c>
      <c r="K309" s="3" t="str">
        <f>HYPERLINK(CONCATENATE("https://livingatlas.arcgis.com/wayback/#ext=-70.791205435746,19.830513681352848,-70.78920543574598,19.828513681352845"), "wayback")</f>
        <v>wayback</v>
      </c>
      <c r="L309" s="2" t="s">
        <v>21</v>
      </c>
      <c r="M309" s="5"/>
      <c r="N309" s="5" t="s">
        <v>21</v>
      </c>
    </row>
    <row r="310" spans="1:14" x14ac:dyDescent="0.35">
      <c r="A310" s="2">
        <v>309</v>
      </c>
      <c r="B310" s="2" t="s">
        <v>428</v>
      </c>
      <c r="C310" s="2" t="s">
        <v>326</v>
      </c>
      <c r="D310" s="2">
        <v>2021</v>
      </c>
      <c r="E310" s="2" t="s">
        <v>10</v>
      </c>
      <c r="F310" s="2">
        <v>1126</v>
      </c>
      <c r="G310" s="2">
        <v>18.78666729683205</v>
      </c>
      <c r="H310" s="2">
        <v>-70.414601173657033</v>
      </c>
      <c r="I310" s="3" t="str">
        <f>HYPERLINK(CONCATENATE("https://faluhong.users.earthengine.app/view/hispaniola-lc-validation#id=LC309;lat=18.78666729683205;lon=-70.41460117365703;year=2021;bf=40;level=18;"), "landsat_time_series")</f>
        <v>landsat_time_series</v>
      </c>
      <c r="J310" s="3" t="str">
        <f>HYPERLINK(CONCATENATE("https://jstnbraaten.users.earthengine.app/view/landsat-timeseries-explorer#run=true;lon=-70.41460117365703;lat=18.78666729683205;from=01-01;to=12-31;index=NBR;rgb=NIR%2FRED%2FGREEN;chipwidth=1;"), "landsat_chips")</f>
        <v>landsat_chips</v>
      </c>
      <c r="K310" s="3" t="str">
        <f>HYPERLINK(CONCATENATE("https://livingatlas.arcgis.com/wayback/#ext=-70.41560117365704,18.78766729683205,-70.41360117365703,18.78566729683205"), "wayback")</f>
        <v>wayback</v>
      </c>
      <c r="L310" s="2" t="s">
        <v>38</v>
      </c>
      <c r="M310" s="5"/>
      <c r="N310" s="5" t="s">
        <v>38</v>
      </c>
    </row>
    <row r="311" spans="1:14" x14ac:dyDescent="0.35">
      <c r="A311" s="2">
        <v>310</v>
      </c>
      <c r="B311" s="2" t="s">
        <v>428</v>
      </c>
      <c r="C311" s="2" t="s">
        <v>327</v>
      </c>
      <c r="D311" s="2">
        <v>2003</v>
      </c>
      <c r="E311" s="2" t="s">
        <v>10</v>
      </c>
      <c r="F311" s="2">
        <v>123</v>
      </c>
      <c r="G311" s="2">
        <v>19.072562966310048</v>
      </c>
      <c r="H311" s="2">
        <v>-70.052472589831012</v>
      </c>
      <c r="I311" s="3" t="str">
        <f>HYPERLINK(CONCATENATE("https://faluhong.users.earthengine.app/view/hispaniola-lc-validation#id=LC310;lat=19.07256296631005;lon=-70.05247258983101;year=2003;bf=40;level=18;"), "landsat_time_series")</f>
        <v>landsat_time_series</v>
      </c>
      <c r="J311" s="3" t="str">
        <f>HYPERLINK(CONCATENATE("https://jstnbraaten.users.earthengine.app/view/landsat-timeseries-explorer#run=true;lon=-70.05247258983101;lat=19.07256296631005;from=01-01;to=12-31;index=NBR;rgb=NIR%2FRED%2FGREEN;chipwidth=1;"), "landsat_chips")</f>
        <v>landsat_chips</v>
      </c>
      <c r="K311" s="3" t="str">
        <f>HYPERLINK(CONCATENATE("https://livingatlas.arcgis.com/wayback/#ext=-70.05347258983102,19.07356296631005,-70.05147258983101,19.071562966310047"), "wayback")</f>
        <v>wayback</v>
      </c>
      <c r="L311" s="2" t="s">
        <v>921</v>
      </c>
      <c r="M311" s="5"/>
      <c r="N311" s="5" t="s">
        <v>921</v>
      </c>
    </row>
    <row r="312" spans="1:14" x14ac:dyDescent="0.35">
      <c r="A312" s="2">
        <v>311</v>
      </c>
      <c r="B312" s="2" t="s">
        <v>428</v>
      </c>
      <c r="C312" s="2" t="s">
        <v>328</v>
      </c>
      <c r="D312" s="2">
        <v>2011</v>
      </c>
      <c r="E312" s="2" t="s">
        <v>20</v>
      </c>
      <c r="F312" s="2">
        <v>402</v>
      </c>
      <c r="G312" s="2">
        <v>19.049280811986311</v>
      </c>
      <c r="H312" s="2">
        <v>-72.768604903220293</v>
      </c>
      <c r="I312" s="3" t="str">
        <f>HYPERLINK(CONCATENATE("https://faluhong.users.earthengine.app/view/hispaniola-lc-validation#id=LC311;lat=19.049280811986307;lon=-72.7686049032203;year=2011;bf=40;level=18;"), "landsat_time_series")</f>
        <v>landsat_time_series</v>
      </c>
      <c r="J312" s="3" t="str">
        <f>HYPERLINK(CONCATENATE("https://jstnbraaten.users.earthengine.app/view/landsat-timeseries-explorer#run=true;lon=-72.7686049032203;lat=19.049280811986307;from=01-01;to=12-31;index=NBR;rgb=NIR%2FRED%2FGREEN;chipwidth=1;"), "landsat_chips")</f>
        <v>landsat_chips</v>
      </c>
      <c r="K312" s="3" t="str">
        <f>HYPERLINK(CONCATENATE("https://livingatlas.arcgis.com/wayback/#ext=-72.7696049032203,19.05028081198631,-72.76760490322029,19.048280811986306"), "wayback")</f>
        <v>wayback</v>
      </c>
      <c r="L312" s="2" t="s">
        <v>21</v>
      </c>
      <c r="M312" s="5"/>
      <c r="N312" s="5" t="s">
        <v>21</v>
      </c>
    </row>
    <row r="313" spans="1:14" x14ac:dyDescent="0.35">
      <c r="A313" s="2">
        <v>312</v>
      </c>
      <c r="B313" s="2" t="s">
        <v>428</v>
      </c>
      <c r="C313" s="2" t="s">
        <v>329</v>
      </c>
      <c r="D313" s="2">
        <v>2018</v>
      </c>
      <c r="E313" s="2" t="s">
        <v>20</v>
      </c>
      <c r="F313" s="2">
        <v>212</v>
      </c>
      <c r="G313" s="2">
        <v>18.534750765320361</v>
      </c>
      <c r="H313" s="2">
        <v>-72.278661805679434</v>
      </c>
      <c r="I313" s="3" t="str">
        <f>HYPERLINK(CONCATENATE("https://faluhong.users.earthengine.app/view/hispaniola-lc-validation#id=LC312;lat=18.534750765320364;lon=-72.27866180567943;year=2018;bf=40;level=18;"), "landsat_time_series")</f>
        <v>landsat_time_series</v>
      </c>
      <c r="J313" s="3" t="str">
        <f>HYPERLINK(CONCATENATE("https://jstnbraaten.users.earthengine.app/view/landsat-timeseries-explorer#run=true;lon=-72.27866180567943;lat=18.534750765320364;from=01-01;to=12-31;index=NBR;rgb=NIR%2FRED%2FGREEN;chipwidth=1;"), "landsat_chips")</f>
        <v>landsat_chips</v>
      </c>
      <c r="K313" s="3" t="str">
        <f>HYPERLINK(CONCATENATE("https://livingatlas.arcgis.com/wayback/#ext=-72.27966180567944,18.535750765320365,-72.27766180567943,18.533750765320363"), "wayback")</f>
        <v>wayback</v>
      </c>
      <c r="L313" s="2" t="s">
        <v>11</v>
      </c>
      <c r="M313" s="5"/>
      <c r="N313" s="5" t="s">
        <v>11</v>
      </c>
    </row>
    <row r="314" spans="1:14" x14ac:dyDescent="0.35">
      <c r="A314" s="2">
        <v>313</v>
      </c>
      <c r="B314" s="2" t="s">
        <v>428</v>
      </c>
      <c r="C314" s="2" t="s">
        <v>330</v>
      </c>
      <c r="D314" s="2">
        <v>2008</v>
      </c>
      <c r="E314" s="2" t="s">
        <v>10</v>
      </c>
      <c r="F314" s="2">
        <v>141</v>
      </c>
      <c r="G314" s="2">
        <v>18.471061547262892</v>
      </c>
      <c r="H314" s="2">
        <v>-70.84579920042323</v>
      </c>
      <c r="I314" s="3" t="str">
        <f>HYPERLINK(CONCATENATE("https://faluhong.users.earthengine.app/view/hispaniola-lc-validation#id=LC313;lat=18.471061547262888;lon=-70.84579920042323;year=2008;bf=40;level=18;"), "landsat_time_series")</f>
        <v>landsat_time_series</v>
      </c>
      <c r="J314" s="3" t="str">
        <f>HYPERLINK(CONCATENATE("https://jstnbraaten.users.earthengine.app/view/landsat-timeseries-explorer#run=true;lon=-70.84579920042323;lat=18.471061547262888;from=01-01;to=12-31;index=NBR;rgb=NIR%2FRED%2FGREEN;chipwidth=1;"), "landsat_chips")</f>
        <v>landsat_chips</v>
      </c>
      <c r="K314" s="3" t="str">
        <f>HYPERLINK(CONCATENATE("https://livingatlas.arcgis.com/wayback/#ext=-70.84679920042323,18.47206154726289,-70.84479920042322,18.470061547262887"), "wayback")</f>
        <v>wayback</v>
      </c>
      <c r="L314" s="2" t="s">
        <v>13</v>
      </c>
      <c r="M314" s="5"/>
      <c r="N314" s="5" t="s">
        <v>921</v>
      </c>
    </row>
    <row r="315" spans="1:14" x14ac:dyDescent="0.35">
      <c r="A315" s="2">
        <v>314</v>
      </c>
      <c r="B315" s="2" t="s">
        <v>428</v>
      </c>
      <c r="C315" s="2" t="s">
        <v>331</v>
      </c>
      <c r="D315" s="2">
        <v>2005</v>
      </c>
      <c r="E315" s="2" t="s">
        <v>10</v>
      </c>
      <c r="F315" s="2">
        <v>-42</v>
      </c>
      <c r="G315" s="2">
        <v>18.440478907989451</v>
      </c>
      <c r="H315" s="2">
        <v>-71.539209350340755</v>
      </c>
      <c r="I315" s="3" t="str">
        <f>HYPERLINK(CONCATENATE("https://faluhong.users.earthengine.app/view/hispaniola-lc-validation#id=LC314;lat=18.44047890798945;lon=-71.53920935034076;year=2005;bf=40;level=18;"), "landsat_time_series")</f>
        <v>landsat_time_series</v>
      </c>
      <c r="J315" s="3" t="str">
        <f>HYPERLINK(CONCATENATE("https://jstnbraaten.users.earthengine.app/view/landsat-timeseries-explorer#run=true;lon=-71.53920935034076;lat=18.44047890798945;from=01-01;to=12-31;index=NBR;rgb=NIR%2FRED%2FGREEN;chipwidth=1;"), "landsat_chips")</f>
        <v>landsat_chips</v>
      </c>
      <c r="K315" s="3" t="str">
        <f>HYPERLINK(CONCATENATE("https://livingatlas.arcgis.com/wayback/#ext=-71.54020935034076,18.441478907989453,-71.53820935034075,18.43947890798945"), "wayback")</f>
        <v>wayback</v>
      </c>
      <c r="L315" s="2" t="s">
        <v>15</v>
      </c>
      <c r="M315" s="5"/>
      <c r="N315" s="5" t="s">
        <v>921</v>
      </c>
    </row>
    <row r="316" spans="1:14" x14ac:dyDescent="0.35">
      <c r="A316" s="2">
        <v>315</v>
      </c>
      <c r="B316" s="2" t="s">
        <v>428</v>
      </c>
      <c r="C316" s="2" t="s">
        <v>332</v>
      </c>
      <c r="D316" s="2">
        <v>2011</v>
      </c>
      <c r="E316" s="2" t="s">
        <v>10</v>
      </c>
      <c r="F316" s="2">
        <v>1848</v>
      </c>
      <c r="G316" s="2">
        <v>18.757188851076162</v>
      </c>
      <c r="H316" s="2">
        <v>-70.696656511412741</v>
      </c>
      <c r="I316" s="3" t="str">
        <f>HYPERLINK(CONCATENATE("https://faluhong.users.earthengine.app/view/hispaniola-lc-validation#id=LC315;lat=18.757188851076158;lon=-70.69665651141274;year=2011;bf=40;level=18;"), "landsat_time_series")</f>
        <v>landsat_time_series</v>
      </c>
      <c r="J316" s="3" t="str">
        <f>HYPERLINK(CONCATENATE("https://jstnbraaten.users.earthengine.app/view/landsat-timeseries-explorer#run=true;lon=-70.69665651141274;lat=18.757188851076158;from=01-01;to=12-31;index=NBR;rgb=NIR%2FRED%2FGREEN;chipwidth=1;"), "landsat_chips")</f>
        <v>landsat_chips</v>
      </c>
      <c r="K316" s="3" t="str">
        <f>HYPERLINK(CONCATENATE("https://livingatlas.arcgis.com/wayback/#ext=-70.69765651141275,18.75818885107616,-70.69565651141274,18.756188851076157"), "wayback")</f>
        <v>wayback</v>
      </c>
      <c r="L316" s="2" t="s">
        <v>21</v>
      </c>
      <c r="M316" s="5"/>
      <c r="N316" s="5" t="s">
        <v>21</v>
      </c>
    </row>
    <row r="317" spans="1:14" x14ac:dyDescent="0.35">
      <c r="A317" s="2">
        <v>316</v>
      </c>
      <c r="B317" s="2" t="s">
        <v>428</v>
      </c>
      <c r="C317" s="2" t="s">
        <v>333</v>
      </c>
      <c r="D317" s="2">
        <v>2010</v>
      </c>
      <c r="E317" s="2" t="s">
        <v>10</v>
      </c>
      <c r="F317" s="2">
        <v>403</v>
      </c>
      <c r="G317" s="2">
        <v>18.61758153134403</v>
      </c>
      <c r="H317" s="2">
        <v>-70.21636927534125</v>
      </c>
      <c r="I317" s="3" t="str">
        <f>HYPERLINK(CONCATENATE("https://faluhong.users.earthengine.app/view/hispaniola-lc-validation#id=LC316;lat=18.617581531344026;lon=-70.21636927534125;year=2010;bf=40;level=18;"), "landsat_time_series")</f>
        <v>landsat_time_series</v>
      </c>
      <c r="J317" s="3" t="str">
        <f>HYPERLINK(CONCATENATE("https://jstnbraaten.users.earthengine.app/view/landsat-timeseries-explorer#run=true;lon=-70.21636927534125;lat=18.617581531344026;from=01-01;to=12-31;index=NBR;rgb=NIR%2FRED%2FGREEN;chipwidth=1;"), "landsat_chips")</f>
        <v>landsat_chips</v>
      </c>
      <c r="K317" s="3" t="str">
        <f>HYPERLINK(CONCATENATE("https://livingatlas.arcgis.com/wayback/#ext=-70.21736927534126,18.618581531344027,-70.21536927534125,18.616581531344025"), "wayback")</f>
        <v>wayback</v>
      </c>
      <c r="L317" s="2" t="s">
        <v>21</v>
      </c>
      <c r="M317" s="5"/>
      <c r="N317" s="5" t="s">
        <v>21</v>
      </c>
    </row>
    <row r="318" spans="1:14" x14ac:dyDescent="0.35">
      <c r="A318" s="2">
        <v>317</v>
      </c>
      <c r="B318" s="2" t="s">
        <v>428</v>
      </c>
      <c r="C318" s="2" t="s">
        <v>334</v>
      </c>
      <c r="D318" s="2">
        <v>2012</v>
      </c>
      <c r="E318" s="2" t="s">
        <v>20</v>
      </c>
      <c r="F318" s="2">
        <v>11</v>
      </c>
      <c r="G318" s="2">
        <v>18.254297270673369</v>
      </c>
      <c r="H318" s="2">
        <v>-73.352918676770543</v>
      </c>
      <c r="I318" s="3" t="str">
        <f>HYPERLINK(CONCATENATE("https://faluhong.users.earthengine.app/view/hispaniola-lc-validation#id=LC317;lat=18.25429727067337;lon=-73.35291867677054;year=2012;bf=40;level=18;"), "landsat_time_series")</f>
        <v>landsat_time_series</v>
      </c>
      <c r="J318" s="3" t="str">
        <f>HYPERLINK(CONCATENATE("https://jstnbraaten.users.earthengine.app/view/landsat-timeseries-explorer#run=true;lon=-73.35291867677054;lat=18.25429727067337;from=01-01;to=12-31;index=NBR;rgb=NIR%2FRED%2FGREEN;chipwidth=1;"), "landsat_chips")</f>
        <v>landsat_chips</v>
      </c>
      <c r="K318" s="3" t="str">
        <f>HYPERLINK(CONCATENATE("https://livingatlas.arcgis.com/wayback/#ext=-73.35391867677055,18.25529727067337,-73.35191867677054,18.253297270673368"), "wayback")</f>
        <v>wayback</v>
      </c>
      <c r="L318" s="2" t="s">
        <v>15</v>
      </c>
      <c r="M318" s="5"/>
      <c r="N318" s="5" t="s">
        <v>15</v>
      </c>
    </row>
    <row r="319" spans="1:14" x14ac:dyDescent="0.35">
      <c r="A319" s="2">
        <v>318</v>
      </c>
      <c r="B319" s="2" t="s">
        <v>428</v>
      </c>
      <c r="C319" s="2" t="s">
        <v>335</v>
      </c>
      <c r="D319" s="2">
        <v>2001</v>
      </c>
      <c r="E319" s="2" t="s">
        <v>10</v>
      </c>
      <c r="F319" s="2">
        <v>172</v>
      </c>
      <c r="G319" s="2">
        <v>17.736105203217051</v>
      </c>
      <c r="H319" s="2">
        <v>-71.441817927103955</v>
      </c>
      <c r="I319" s="3" t="str">
        <f>HYPERLINK(CONCATENATE("https://faluhong.users.earthengine.app/view/hispaniola-lc-validation#id=LC318;lat=17.73610520321705;lon=-71.44181792710395;year=2001;bf=40;level=18;"), "landsat_time_series")</f>
        <v>landsat_time_series</v>
      </c>
      <c r="J319" s="3" t="str">
        <f>HYPERLINK(CONCATENATE("https://jstnbraaten.users.earthengine.app/view/landsat-timeseries-explorer#run=true;lon=-71.44181792710395;lat=17.73610520321705;from=01-01;to=12-31;index=NBR;rgb=NIR%2FRED%2FGREEN;chipwidth=1;"), "landsat_chips")</f>
        <v>landsat_chips</v>
      </c>
      <c r="K319" s="3" t="str">
        <f>HYPERLINK(CONCATENATE("https://livingatlas.arcgis.com/wayback/#ext=-71.44281792710396,17.73710520321705,-71.44081792710395,17.73510520321705"), "wayback")</f>
        <v>wayback</v>
      </c>
      <c r="L319" s="2" t="s">
        <v>18</v>
      </c>
      <c r="M319" s="5"/>
      <c r="N319" s="5" t="s">
        <v>18</v>
      </c>
    </row>
    <row r="320" spans="1:14" x14ac:dyDescent="0.35">
      <c r="A320" s="2">
        <v>319</v>
      </c>
      <c r="B320" s="2" t="s">
        <v>428</v>
      </c>
      <c r="C320" s="2" t="s">
        <v>336</v>
      </c>
      <c r="D320" s="2">
        <v>2007</v>
      </c>
      <c r="E320" s="2" t="s">
        <v>10</v>
      </c>
      <c r="F320" s="2">
        <v>1235</v>
      </c>
      <c r="G320" s="2">
        <v>19.00503881465136</v>
      </c>
      <c r="H320" s="2">
        <v>-70.522242538475339</v>
      </c>
      <c r="I320" s="3" t="str">
        <f>HYPERLINK(CONCATENATE("https://faluhong.users.earthengine.app/view/hispaniola-lc-validation#id=LC319;lat=19.005038814651357;lon=-70.52224253847534;year=2007;bf=40;level=18;"), "landsat_time_series")</f>
        <v>landsat_time_series</v>
      </c>
      <c r="J320" s="3" t="str">
        <f>HYPERLINK(CONCATENATE("https://jstnbraaten.users.earthengine.app/view/landsat-timeseries-explorer#run=true;lon=-70.52224253847534;lat=19.005038814651357;from=01-01;to=12-31;index=NBR;rgb=NIR%2FRED%2FGREEN;chipwidth=1;"), "landsat_chips")</f>
        <v>landsat_chips</v>
      </c>
      <c r="K320" s="3" t="str">
        <f>HYPERLINK(CONCATENATE("https://livingatlas.arcgis.com/wayback/#ext=-70.52324253847534,19.006038814651358,-70.52124253847533,19.004038814651356"), "wayback")</f>
        <v>wayback</v>
      </c>
      <c r="L320" s="2" t="s">
        <v>38</v>
      </c>
      <c r="M320" s="5"/>
      <c r="N320" s="5" t="s">
        <v>38</v>
      </c>
    </row>
    <row r="321" spans="1:14" x14ac:dyDescent="0.35">
      <c r="A321" s="2">
        <v>320</v>
      </c>
      <c r="B321" s="2" t="s">
        <v>428</v>
      </c>
      <c r="C321" s="2" t="s">
        <v>337</v>
      </c>
      <c r="D321" s="2">
        <v>2012</v>
      </c>
      <c r="E321" s="2" t="s">
        <v>10</v>
      </c>
      <c r="F321" s="2">
        <v>180</v>
      </c>
      <c r="G321" s="2">
        <v>18.215371675816439</v>
      </c>
      <c r="H321" s="2">
        <v>-71.359236484295764</v>
      </c>
      <c r="I321" s="3" t="str">
        <f>HYPERLINK(CONCATENATE("https://faluhong.users.earthengine.app/view/hispaniola-lc-validation#id=LC320;lat=18.21537167581644;lon=-71.35923648429576;year=2012;bf=40;level=18;"), "landsat_time_series")</f>
        <v>landsat_time_series</v>
      </c>
      <c r="J321" s="3" t="str">
        <f>HYPERLINK(CONCATENATE("https://jstnbraaten.users.earthengine.app/view/landsat-timeseries-explorer#run=true;lon=-71.35923648429576;lat=18.21537167581644;from=01-01;to=12-31;index=NBR;rgb=NIR%2FRED%2FGREEN;chipwidth=1;"), "landsat_chips")</f>
        <v>landsat_chips</v>
      </c>
      <c r="K321" s="3" t="str">
        <f>HYPERLINK(CONCATENATE("https://livingatlas.arcgis.com/wayback/#ext=-71.36023648429577,18.21637167581644,-71.35823648429576,18.214371675816437"), "wayback")</f>
        <v>wayback</v>
      </c>
      <c r="L321" s="2" t="s">
        <v>13</v>
      </c>
      <c r="M321" s="5"/>
      <c r="N321" s="5" t="s">
        <v>13</v>
      </c>
    </row>
    <row r="322" spans="1:14" x14ac:dyDescent="0.35">
      <c r="A322" s="2">
        <v>321</v>
      </c>
      <c r="B322" s="2" t="s">
        <v>428</v>
      </c>
      <c r="C322" s="2" t="s">
        <v>338</v>
      </c>
      <c r="D322" s="2">
        <v>2003</v>
      </c>
      <c r="E322" s="2" t="s">
        <v>20</v>
      </c>
      <c r="F322" s="2">
        <v>166</v>
      </c>
      <c r="G322" s="2">
        <v>18.4795221228248</v>
      </c>
      <c r="H322" s="2">
        <v>-73.383922969745726</v>
      </c>
      <c r="I322" s="3" t="str">
        <f>HYPERLINK(CONCATENATE("https://faluhong.users.earthengine.app/view/hispaniola-lc-validation#id=LC321;lat=18.4795221228248;lon=-73.38392296974573;year=2003;bf=40;level=18;"), "landsat_time_series")</f>
        <v>landsat_time_series</v>
      </c>
      <c r="J322" s="3" t="str">
        <f>HYPERLINK(CONCATENATE("https://jstnbraaten.users.earthengine.app/view/landsat-timeseries-explorer#run=true;lon=-73.38392296974573;lat=18.4795221228248;from=01-01;to=12-31;index=NBR;rgb=NIR%2FRED%2FGREEN;chipwidth=1;"), "landsat_chips")</f>
        <v>landsat_chips</v>
      </c>
      <c r="K322" s="3" t="str">
        <f>HYPERLINK(CONCATENATE("https://livingatlas.arcgis.com/wayback/#ext=-73.38492296974573,18.4805221228248,-73.38292296974572,18.4785221228248"), "wayback")</f>
        <v>wayback</v>
      </c>
      <c r="L322" s="2" t="s">
        <v>21</v>
      </c>
      <c r="M322" s="5"/>
      <c r="N322" s="5" t="s">
        <v>921</v>
      </c>
    </row>
    <row r="323" spans="1:14" x14ac:dyDescent="0.35">
      <c r="A323" s="2">
        <v>322</v>
      </c>
      <c r="B323" s="2" t="s">
        <v>428</v>
      </c>
      <c r="C323" s="2" t="s">
        <v>339</v>
      </c>
      <c r="D323" s="2">
        <v>2022</v>
      </c>
      <c r="E323" s="2" t="s">
        <v>10</v>
      </c>
      <c r="F323" s="2">
        <v>16</v>
      </c>
      <c r="G323" s="2">
        <v>19.657052921869081</v>
      </c>
      <c r="H323" s="2">
        <v>-70.342785992257888</v>
      </c>
      <c r="I323" s="3" t="str">
        <f>HYPERLINK(CONCATENATE("https://faluhong.users.earthengine.app/view/hispaniola-lc-validation#id=LC322;lat=19.65705292186908;lon=-70.34278599225789;year=2022;bf=40;level=18;"), "landsat_time_series")</f>
        <v>landsat_time_series</v>
      </c>
      <c r="J323" s="3" t="str">
        <f>HYPERLINK(CONCATENATE("https://jstnbraaten.users.earthengine.app/view/landsat-timeseries-explorer#run=true;lon=-70.34278599225789;lat=19.65705292186908;from=01-01;to=12-31;index=NBR;rgb=NIR%2FRED%2FGREEN;chipwidth=1;"), "landsat_chips")</f>
        <v>landsat_chips</v>
      </c>
      <c r="K323" s="3" t="str">
        <f>HYPERLINK(CONCATENATE("https://livingatlas.arcgis.com/wayback/#ext=-70.34378599225789,19.658052921869082,-70.34178599225788,19.65605292186908"), "wayback")</f>
        <v>wayback</v>
      </c>
      <c r="L323" s="2" t="s">
        <v>24</v>
      </c>
      <c r="M323" s="5"/>
      <c r="N323" s="5" t="s">
        <v>21</v>
      </c>
    </row>
    <row r="324" spans="1:14" x14ac:dyDescent="0.35">
      <c r="A324" s="2">
        <v>323</v>
      </c>
      <c r="B324" s="2" t="s">
        <v>428</v>
      </c>
      <c r="C324" s="2" t="s">
        <v>340</v>
      </c>
      <c r="D324" s="2">
        <v>2001</v>
      </c>
      <c r="E324" s="2" t="s">
        <v>20</v>
      </c>
      <c r="F324" s="2">
        <v>-1</v>
      </c>
      <c r="G324" s="2">
        <v>19.39468533835656</v>
      </c>
      <c r="H324" s="2">
        <v>-72.698483263244228</v>
      </c>
      <c r="I324" s="3" t="str">
        <f>HYPERLINK(CONCATENATE("https://faluhong.users.earthengine.app/view/hispaniola-lc-validation#id=LC323;lat=19.39468533835656;lon=-72.69848326324423;year=2001;bf=40;level=18;"), "landsat_time_series")</f>
        <v>landsat_time_series</v>
      </c>
      <c r="J324" s="3" t="str">
        <f>HYPERLINK(CONCATENATE("https://jstnbraaten.users.earthengine.app/view/landsat-timeseries-explorer#run=true;lon=-72.69848326324423;lat=19.39468533835656;from=01-01;to=12-31;index=NBR;rgb=NIR%2FRED%2FGREEN;chipwidth=1;"), "landsat_chips")</f>
        <v>landsat_chips</v>
      </c>
      <c r="K324" s="3" t="str">
        <f>HYPERLINK(CONCATENATE("https://livingatlas.arcgis.com/wayback/#ext=-72.69948326324423,19.39568533835656,-72.69748326324422,19.39368533835656"), "wayback")</f>
        <v>wayback</v>
      </c>
      <c r="L324" s="2" t="s">
        <v>24</v>
      </c>
      <c r="M324" s="5" t="b">
        <v>1</v>
      </c>
      <c r="N324" s="5" t="s">
        <v>15</v>
      </c>
    </row>
    <row r="325" spans="1:14" x14ac:dyDescent="0.35">
      <c r="A325" s="2">
        <v>324</v>
      </c>
      <c r="B325" s="2" t="s">
        <v>428</v>
      </c>
      <c r="C325" s="2" t="s">
        <v>341</v>
      </c>
      <c r="D325" s="2">
        <v>2006</v>
      </c>
      <c r="E325" s="2" t="s">
        <v>10</v>
      </c>
      <c r="F325" s="2">
        <v>818</v>
      </c>
      <c r="G325" s="2">
        <v>19.33880293980442</v>
      </c>
      <c r="H325" s="2">
        <v>-71.194793871919032</v>
      </c>
      <c r="I325" s="3" t="str">
        <f>HYPERLINK(CONCATENATE("https://faluhong.users.earthengine.app/view/hispaniola-lc-validation#id=LC324;lat=19.33880293980442;lon=-71.19479387191903;year=2006;bf=40;level=18;"), "landsat_time_series")</f>
        <v>landsat_time_series</v>
      </c>
      <c r="J325" s="3" t="str">
        <f>HYPERLINK(CONCATENATE("https://jstnbraaten.users.earthengine.app/view/landsat-timeseries-explorer#run=true;lon=-71.19479387191903;lat=19.33880293980442;from=01-01;to=12-31;index=NBR;rgb=NIR%2FRED%2FGREEN;chipwidth=1;"), "landsat_chips")</f>
        <v>landsat_chips</v>
      </c>
      <c r="K325" s="3" t="str">
        <f>HYPERLINK(CONCATENATE("https://livingatlas.arcgis.com/wayback/#ext=-71.19579387191904,19.33980293980442,-71.19379387191903,19.33780293980442"), "wayback")</f>
        <v>wayback</v>
      </c>
      <c r="L325" s="2" t="s">
        <v>38</v>
      </c>
      <c r="M325" s="5"/>
      <c r="N325" s="5" t="s">
        <v>38</v>
      </c>
    </row>
    <row r="326" spans="1:14" x14ac:dyDescent="0.35">
      <c r="A326" s="2">
        <v>325</v>
      </c>
      <c r="B326" s="2" t="s">
        <v>428</v>
      </c>
      <c r="C326" s="2" t="s">
        <v>342</v>
      </c>
      <c r="D326" s="2">
        <v>2013</v>
      </c>
      <c r="E326" s="2" t="s">
        <v>20</v>
      </c>
      <c r="F326" s="2">
        <v>255</v>
      </c>
      <c r="G326" s="2">
        <v>18.384610617777032</v>
      </c>
      <c r="H326" s="2">
        <v>-73.80198724403941</v>
      </c>
      <c r="I326" s="3" t="str">
        <f>HYPERLINK(CONCATENATE("https://faluhong.users.earthengine.app/view/hispaniola-lc-validation#id=LC325;lat=18.38461061777703;lon=-73.80198724403941;year=2013;bf=40;level=18;"), "landsat_time_series")</f>
        <v>landsat_time_series</v>
      </c>
      <c r="J326" s="3" t="str">
        <f>HYPERLINK(CONCATENATE("https://jstnbraaten.users.earthengine.app/view/landsat-timeseries-explorer#run=true;lon=-73.80198724403941;lat=18.38461061777703;from=01-01;to=12-31;index=NBR;rgb=NIR%2FRED%2FGREEN;chipwidth=1;"), "landsat_chips")</f>
        <v>landsat_chips</v>
      </c>
      <c r="K326" s="3" t="str">
        <f>HYPERLINK(CONCATENATE("https://livingatlas.arcgis.com/wayback/#ext=-73.80298724403941,18.385610617777033,-73.8009872440394,18.38361061777703"), "wayback")</f>
        <v>wayback</v>
      </c>
      <c r="L326" s="2" t="s">
        <v>921</v>
      </c>
      <c r="M326" s="5"/>
      <c r="N326" s="5" t="s">
        <v>921</v>
      </c>
    </row>
    <row r="327" spans="1:14" x14ac:dyDescent="0.35">
      <c r="A327" s="2">
        <v>326</v>
      </c>
      <c r="B327" s="2" t="s">
        <v>428</v>
      </c>
      <c r="C327" s="2" t="s">
        <v>343</v>
      </c>
      <c r="D327" s="2">
        <v>2018</v>
      </c>
      <c r="E327" s="2" t="s">
        <v>10</v>
      </c>
      <c r="F327" s="2">
        <v>37</v>
      </c>
      <c r="G327" s="2">
        <v>18.774425553600771</v>
      </c>
      <c r="H327" s="2">
        <v>-69.806447909746737</v>
      </c>
      <c r="I327" s="3" t="str">
        <f>HYPERLINK(CONCATENATE("https://faluhong.users.earthengine.app/view/hispaniola-lc-validation#id=LC326;lat=18.774425553600768;lon=-69.80644790974674;year=2018;bf=40;level=18;"), "landsat_time_series")</f>
        <v>landsat_time_series</v>
      </c>
      <c r="J327" s="3" t="str">
        <f>HYPERLINK(CONCATENATE("https://jstnbraaten.users.earthengine.app/view/landsat-timeseries-explorer#run=true;lon=-69.80644790974674;lat=18.774425553600768;from=01-01;to=12-31;index=NBR;rgb=NIR%2FRED%2FGREEN;chipwidth=1;"), "landsat_chips")</f>
        <v>landsat_chips</v>
      </c>
      <c r="K327" s="3" t="str">
        <f>HYPERLINK(CONCATENATE("https://livingatlas.arcgis.com/wayback/#ext=-69.80744790974674,18.77542555360077,-69.80544790974673,18.773425553600767"), "wayback")</f>
        <v>wayback</v>
      </c>
      <c r="L327" s="2" t="s">
        <v>921</v>
      </c>
      <c r="M327" s="5"/>
      <c r="N327" s="5" t="s">
        <v>921</v>
      </c>
    </row>
    <row r="328" spans="1:14" x14ac:dyDescent="0.35">
      <c r="A328" s="2">
        <v>327</v>
      </c>
      <c r="B328" s="2" t="s">
        <v>428</v>
      </c>
      <c r="C328" s="2" t="s">
        <v>344</v>
      </c>
      <c r="D328" s="2">
        <v>2016</v>
      </c>
      <c r="E328" s="2" t="s">
        <v>10</v>
      </c>
      <c r="F328" s="2">
        <v>155</v>
      </c>
      <c r="G328" s="2">
        <v>17.82501443739039</v>
      </c>
      <c r="H328" s="2">
        <v>-71.587604512029472</v>
      </c>
      <c r="I328" s="3" t="str">
        <f>HYPERLINK(CONCATENATE("https://faluhong.users.earthengine.app/view/hispaniola-lc-validation#id=LC327;lat=17.82501443739039;lon=-71.58760451202947;year=2016;bf=40;level=18;"), "landsat_time_series")</f>
        <v>landsat_time_series</v>
      </c>
      <c r="J328" s="3" t="str">
        <f>HYPERLINK(CONCATENATE("https://jstnbraaten.users.earthengine.app/view/landsat-timeseries-explorer#run=true;lon=-71.58760451202947;lat=17.82501443739039;from=01-01;to=12-31;index=NBR;rgb=NIR%2FRED%2FGREEN;chipwidth=1;"), "landsat_chips")</f>
        <v>landsat_chips</v>
      </c>
      <c r="K328" s="3" t="str">
        <f>HYPERLINK(CONCATENATE("https://livingatlas.arcgis.com/wayback/#ext=-71.58860451202948,17.82601443739039,-71.58660451202947,17.82401443739039"), "wayback")</f>
        <v>wayback</v>
      </c>
      <c r="L328" s="2" t="s">
        <v>13</v>
      </c>
      <c r="M328" s="5"/>
      <c r="N328" s="5" t="s">
        <v>13</v>
      </c>
    </row>
    <row r="329" spans="1:14" x14ac:dyDescent="0.35">
      <c r="A329" s="2">
        <v>328</v>
      </c>
      <c r="B329" s="2" t="s">
        <v>428</v>
      </c>
      <c r="C329" s="2" t="s">
        <v>345</v>
      </c>
      <c r="D329" s="2">
        <v>2009</v>
      </c>
      <c r="E329" s="2" t="s">
        <v>20</v>
      </c>
      <c r="F329" s="2">
        <v>4</v>
      </c>
      <c r="G329" s="2">
        <v>19.36574053846541</v>
      </c>
      <c r="H329" s="2">
        <v>-72.694804622983241</v>
      </c>
      <c r="I329" s="3" t="str">
        <f>HYPERLINK(CONCATENATE("https://faluhong.users.earthengine.app/view/hispaniola-lc-validation#id=LC328;lat=19.36574053846541;lon=-72.69480462298324;year=2009;bf=40;level=18;"), "landsat_time_series")</f>
        <v>landsat_time_series</v>
      </c>
      <c r="J329" s="3" t="str">
        <f>HYPERLINK(CONCATENATE("https://jstnbraaten.users.earthengine.app/view/landsat-timeseries-explorer#run=true;lon=-72.69480462298324;lat=19.36574053846541;from=01-01;to=12-31;index=NBR;rgb=NIR%2FRED%2FGREEN;chipwidth=1;"), "landsat_chips")</f>
        <v>landsat_chips</v>
      </c>
      <c r="K329" s="3" t="str">
        <f>HYPERLINK(CONCATENATE("https://livingatlas.arcgis.com/wayback/#ext=-72.69580462298325,19.36674053846541,-72.69380462298324,19.36474053846541"), "wayback")</f>
        <v>wayback</v>
      </c>
      <c r="L329" s="2" t="s">
        <v>24</v>
      </c>
      <c r="M329" s="5"/>
      <c r="N329" s="5" t="s">
        <v>15</v>
      </c>
    </row>
    <row r="330" spans="1:14" x14ac:dyDescent="0.35">
      <c r="A330" s="2">
        <v>329</v>
      </c>
      <c r="B330" s="2" t="s">
        <v>428</v>
      </c>
      <c r="C330" s="2" t="s">
        <v>346</v>
      </c>
      <c r="D330" s="2">
        <v>2021</v>
      </c>
      <c r="E330" s="2" t="s">
        <v>10</v>
      </c>
      <c r="F330" s="2">
        <v>302</v>
      </c>
      <c r="G330" s="2">
        <v>18.692798185824891</v>
      </c>
      <c r="H330" s="2">
        <v>-70.115067382828002</v>
      </c>
      <c r="I330" s="3" t="str">
        <f>HYPERLINK(CONCATENATE("https://faluhong.users.earthengine.app/view/hispaniola-lc-validation#id=LC329;lat=18.692798185824895;lon=-70.115067382828;year=2021;bf=40;level=18;"), "landsat_time_series")</f>
        <v>landsat_time_series</v>
      </c>
      <c r="J330" s="3" t="str">
        <f>HYPERLINK(CONCATENATE("https://jstnbraaten.users.earthengine.app/view/landsat-timeseries-explorer#run=true;lon=-70.115067382828;lat=18.692798185824895;from=01-01;to=12-31;index=NBR;rgb=NIR%2FRED%2FGREEN;chipwidth=1;"), "landsat_chips")</f>
        <v>landsat_chips</v>
      </c>
      <c r="K330" s="3" t="str">
        <f>HYPERLINK(CONCATENATE("https://livingatlas.arcgis.com/wayback/#ext=-70.116067382828,18.693798185824896,-70.114067382828,18.691798185824894"), "wayback")</f>
        <v>wayback</v>
      </c>
      <c r="L330" s="2" t="s">
        <v>21</v>
      </c>
      <c r="M330" s="5" t="b">
        <v>1</v>
      </c>
      <c r="N330" s="5" t="s">
        <v>921</v>
      </c>
    </row>
    <row r="331" spans="1:14" x14ac:dyDescent="0.35">
      <c r="A331" s="2">
        <v>330</v>
      </c>
      <c r="B331" s="2" t="s">
        <v>428</v>
      </c>
      <c r="C331" s="2" t="s">
        <v>347</v>
      </c>
      <c r="D331" s="2">
        <v>2007</v>
      </c>
      <c r="E331" s="2" t="s">
        <v>10</v>
      </c>
      <c r="F331" s="2">
        <v>46</v>
      </c>
      <c r="G331" s="2">
        <v>18.492374365838241</v>
      </c>
      <c r="H331" s="2">
        <v>-71.851322757754005</v>
      </c>
      <c r="I331" s="3" t="str">
        <f>HYPERLINK(CONCATENATE("https://faluhong.users.earthengine.app/view/hispaniola-lc-validation#id=LC330;lat=18.492374365838238;lon=-71.851322757754;year=2007;bf=40;level=18;"), "landsat_time_series")</f>
        <v>landsat_time_series</v>
      </c>
      <c r="J331" s="3" t="str">
        <f>HYPERLINK(CONCATENATE("https://jstnbraaten.users.earthengine.app/view/landsat-timeseries-explorer#run=true;lon=-71.851322757754;lat=18.492374365838238;from=01-01;to=12-31;index=NBR;rgb=NIR%2FRED%2FGREEN;chipwidth=1;"), "landsat_chips")</f>
        <v>landsat_chips</v>
      </c>
      <c r="K331" s="3" t="str">
        <f>HYPERLINK(CONCATENATE("https://livingatlas.arcgis.com/wayback/#ext=-71.85232275775401,18.49337436583824,-71.850322757754,18.491374365838237"), "wayback")</f>
        <v>wayback</v>
      </c>
      <c r="L331" s="2" t="s">
        <v>11</v>
      </c>
      <c r="M331" s="5"/>
      <c r="N331" s="5" t="s">
        <v>11</v>
      </c>
    </row>
    <row r="332" spans="1:14" x14ac:dyDescent="0.35">
      <c r="A332" s="2">
        <v>331</v>
      </c>
      <c r="B332" s="2" t="s">
        <v>428</v>
      </c>
      <c r="C332" s="2" t="s">
        <v>348</v>
      </c>
      <c r="D332" s="2">
        <v>2013</v>
      </c>
      <c r="E332" s="2" t="s">
        <v>10</v>
      </c>
      <c r="F332" s="2">
        <v>80</v>
      </c>
      <c r="G332" s="2">
        <v>17.668534997293289</v>
      </c>
      <c r="H332" s="2">
        <v>-71.44242784186703</v>
      </c>
      <c r="I332" s="3" t="str">
        <f>HYPERLINK(CONCATENATE("https://faluhong.users.earthengine.app/view/hispaniola-lc-validation#id=LC331;lat=17.668534997293293;lon=-71.44242784186703;year=2013;bf=40;level=18;"), "landsat_time_series")</f>
        <v>landsat_time_series</v>
      </c>
      <c r="J332" s="3" t="str">
        <f>HYPERLINK(CONCATENATE("https://jstnbraaten.users.earthengine.app/view/landsat-timeseries-explorer#run=true;lon=-71.44242784186703;lat=17.668534997293293;from=01-01;to=12-31;index=NBR;rgb=NIR%2FRED%2FGREEN;chipwidth=1;"), "landsat_chips")</f>
        <v>landsat_chips</v>
      </c>
      <c r="K332" s="3" t="str">
        <f>HYPERLINK(CONCATENATE("https://livingatlas.arcgis.com/wayback/#ext=-71.44342784186703,17.669534997293294,-71.44142784186702,17.66753499729329"), "wayback")</f>
        <v>wayback</v>
      </c>
      <c r="L332" s="2" t="s">
        <v>18</v>
      </c>
      <c r="M332" s="5"/>
      <c r="N332" s="5" t="s">
        <v>18</v>
      </c>
    </row>
    <row r="333" spans="1:14" x14ac:dyDescent="0.35">
      <c r="A333" s="2">
        <v>332</v>
      </c>
      <c r="B333" s="2" t="s">
        <v>428</v>
      </c>
      <c r="C333" s="2" t="s">
        <v>349</v>
      </c>
      <c r="D333" s="2">
        <v>2017</v>
      </c>
      <c r="E333" s="2" t="s">
        <v>10</v>
      </c>
      <c r="F333" s="2">
        <v>292</v>
      </c>
      <c r="G333" s="2">
        <v>18.835458859280131</v>
      </c>
      <c r="H333" s="2">
        <v>-70.132573159644238</v>
      </c>
      <c r="I333" s="3" t="str">
        <f>HYPERLINK(CONCATENATE("https://faluhong.users.earthengine.app/view/hispaniola-lc-validation#id=LC332;lat=18.83545885928013;lon=-70.13257315964424;year=2017;bf=40;level=18;"), "landsat_time_series")</f>
        <v>landsat_time_series</v>
      </c>
      <c r="J333" s="3" t="str">
        <f>HYPERLINK(CONCATENATE("https://jstnbraaten.users.earthengine.app/view/landsat-timeseries-explorer#run=true;lon=-70.13257315964424;lat=18.83545885928013;from=01-01;to=12-31;index=NBR;rgb=NIR%2FRED%2FGREEN;chipwidth=1;"), "landsat_chips")</f>
        <v>landsat_chips</v>
      </c>
      <c r="K333" s="3" t="str">
        <f>HYPERLINK(CONCATENATE("https://livingatlas.arcgis.com/wayback/#ext=-70.13357315964424,18.836458859280132,-70.13157315964423,18.83445885928013"), "wayback")</f>
        <v>wayback</v>
      </c>
      <c r="L333" s="2" t="s">
        <v>21</v>
      </c>
      <c r="M333" s="5"/>
      <c r="N333" s="5" t="s">
        <v>21</v>
      </c>
    </row>
    <row r="334" spans="1:14" x14ac:dyDescent="0.35">
      <c r="A334" s="2">
        <v>333</v>
      </c>
      <c r="B334" s="2" t="s">
        <v>428</v>
      </c>
      <c r="C334" s="2" t="s">
        <v>350</v>
      </c>
      <c r="D334" s="2">
        <v>2004</v>
      </c>
      <c r="E334" s="2" t="s">
        <v>10</v>
      </c>
      <c r="F334" s="2">
        <v>557</v>
      </c>
      <c r="G334" s="2">
        <v>19.293425970792502</v>
      </c>
      <c r="H334" s="2">
        <v>-71.269293855209895</v>
      </c>
      <c r="I334" s="3" t="str">
        <f>HYPERLINK(CONCATENATE("https://faluhong.users.earthengine.app/view/hispaniola-lc-validation#id=LC333;lat=19.293425970792498;lon=-71.2692938552099;year=2004;bf=40;level=18;"), "landsat_time_series")</f>
        <v>landsat_time_series</v>
      </c>
      <c r="J334" s="3" t="str">
        <f>HYPERLINK(CONCATENATE("https://jstnbraaten.users.earthengine.app/view/landsat-timeseries-explorer#run=true;lon=-71.2692938552099;lat=19.293425970792498;from=01-01;to=12-31;index=NBR;rgb=NIR%2FRED%2FGREEN;chipwidth=1;"), "landsat_chips")</f>
        <v>landsat_chips</v>
      </c>
      <c r="K334" s="3" t="str">
        <f>HYPERLINK(CONCATENATE("https://livingatlas.arcgis.com/wayback/#ext=-71.2702938552099,19.2944259707925,-71.26829385520989,19.292425970792497"), "wayback")</f>
        <v>wayback</v>
      </c>
      <c r="L334" s="2" t="s">
        <v>21</v>
      </c>
      <c r="M334" s="5"/>
      <c r="N334" s="5" t="s">
        <v>21</v>
      </c>
    </row>
    <row r="335" spans="1:14" x14ac:dyDescent="0.35">
      <c r="A335" s="2">
        <v>334</v>
      </c>
      <c r="B335" s="2" t="s">
        <v>428</v>
      </c>
      <c r="C335" s="2" t="s">
        <v>351</v>
      </c>
      <c r="D335" s="2">
        <v>2002</v>
      </c>
      <c r="E335" s="2" t="s">
        <v>10</v>
      </c>
      <c r="F335" s="2">
        <v>6</v>
      </c>
      <c r="G335" s="2">
        <v>19.018203145196651</v>
      </c>
      <c r="H335" s="2">
        <v>-69.219754305168209</v>
      </c>
      <c r="I335" s="3" t="str">
        <f>HYPERLINK(CONCATENATE("https://faluhong.users.earthengine.app/view/hispaniola-lc-validation#id=LC334;lat=19.01820314519665;lon=-69.21975430516821;year=2002;bf=40;level=18;"), "landsat_time_series")</f>
        <v>landsat_time_series</v>
      </c>
      <c r="J335" s="3" t="str">
        <f>HYPERLINK(CONCATENATE("https://jstnbraaten.users.earthengine.app/view/landsat-timeseries-explorer#run=true;lon=-69.21975430516821;lat=19.01820314519665;from=01-01;to=12-31;index=NBR;rgb=NIR%2FRED%2FGREEN;chipwidth=1;"), "landsat_chips")</f>
        <v>landsat_chips</v>
      </c>
      <c r="K335" s="3" t="str">
        <f>HYPERLINK(CONCATENATE("https://livingatlas.arcgis.com/wayback/#ext=-69.22075430516821,19.019203145196652,-69.2187543051682,19.01720314519665"), "wayback")</f>
        <v>wayback</v>
      </c>
      <c r="L335" s="2" t="s">
        <v>24</v>
      </c>
      <c r="M335" s="5"/>
      <c r="N335" s="5" t="s">
        <v>24</v>
      </c>
    </row>
    <row r="336" spans="1:14" x14ac:dyDescent="0.35">
      <c r="A336" s="2">
        <v>335</v>
      </c>
      <c r="B336" s="2" t="s">
        <v>428</v>
      </c>
      <c r="C336" s="2" t="s">
        <v>352</v>
      </c>
      <c r="D336" s="2">
        <v>2013</v>
      </c>
      <c r="E336" s="2" t="s">
        <v>20</v>
      </c>
      <c r="F336" s="2">
        <v>1</v>
      </c>
      <c r="G336" s="2">
        <v>19.372799394590778</v>
      </c>
      <c r="H336" s="2">
        <v>-72.763679605440331</v>
      </c>
      <c r="I336" s="3" t="str">
        <f>HYPERLINK(CONCATENATE("https://faluhong.users.earthengine.app/view/hispaniola-lc-validation#id=LC335;lat=19.372799394590782;lon=-72.76367960544033;year=2013;bf=40;level=18;"), "landsat_time_series")</f>
        <v>landsat_time_series</v>
      </c>
      <c r="J336" s="3" t="str">
        <f>HYPERLINK(CONCATENATE("https://jstnbraaten.users.earthengine.app/view/landsat-timeseries-explorer#run=true;lon=-72.76367960544033;lat=19.372799394590782;from=01-01;to=12-31;index=NBR;rgb=NIR%2FRED%2FGREEN;chipwidth=1;"), "landsat_chips")</f>
        <v>landsat_chips</v>
      </c>
      <c r="K336" s="3" t="str">
        <f>HYPERLINK(CONCATENATE("https://livingatlas.arcgis.com/wayback/#ext=-72.76467960544034,19.373799394590783,-72.76267960544033,19.37179939459078"), "wayback")</f>
        <v>wayback</v>
      </c>
      <c r="L336" s="2" t="s">
        <v>24</v>
      </c>
      <c r="M336" s="5"/>
      <c r="N336" s="5" t="s">
        <v>15</v>
      </c>
    </row>
    <row r="337" spans="1:14" x14ac:dyDescent="0.35">
      <c r="A337" s="2">
        <v>336</v>
      </c>
      <c r="B337" s="2" t="s">
        <v>428</v>
      </c>
      <c r="C337" s="2" t="s">
        <v>353</v>
      </c>
      <c r="D337" s="2">
        <v>2003</v>
      </c>
      <c r="E337" s="2" t="s">
        <v>10</v>
      </c>
      <c r="F337" s="2">
        <v>529</v>
      </c>
      <c r="G337" s="2">
        <v>19.381012754912</v>
      </c>
      <c r="H337" s="2">
        <v>-71.036370641346892</v>
      </c>
      <c r="I337" s="3" t="str">
        <f>HYPERLINK(CONCATENATE("https://faluhong.users.earthengine.app/view/hispaniola-lc-validation#id=LC336;lat=19.381012754911996;lon=-71.03637064134689;year=2003;bf=40;level=18;"), "landsat_time_series")</f>
        <v>landsat_time_series</v>
      </c>
      <c r="J337" s="3" t="str">
        <f>HYPERLINK(CONCATENATE("https://jstnbraaten.users.earthengine.app/view/landsat-timeseries-explorer#run=true;lon=-71.03637064134689;lat=19.381012754911996;from=01-01;to=12-31;index=NBR;rgb=NIR%2FRED%2FGREEN;chipwidth=1;"), "landsat_chips")</f>
        <v>landsat_chips</v>
      </c>
      <c r="K337" s="3" t="str">
        <f>HYPERLINK(CONCATENATE("https://livingatlas.arcgis.com/wayback/#ext=-71.0373706413469,19.382012754911997,-71.03537064134689,19.380012754911995"), "wayback")</f>
        <v>wayback</v>
      </c>
      <c r="L337" s="2" t="s">
        <v>24</v>
      </c>
      <c r="M337" s="5"/>
      <c r="N337" s="5" t="s">
        <v>21</v>
      </c>
    </row>
    <row r="338" spans="1:14" x14ac:dyDescent="0.35">
      <c r="A338" s="2">
        <v>337</v>
      </c>
      <c r="B338" s="2" t="s">
        <v>428</v>
      </c>
      <c r="C338" s="2" t="s">
        <v>354</v>
      </c>
      <c r="D338" s="2">
        <v>2011</v>
      </c>
      <c r="E338" s="2" t="s">
        <v>20</v>
      </c>
      <c r="F338" s="2">
        <v>115</v>
      </c>
      <c r="G338" s="2">
        <v>18.22294230150872</v>
      </c>
      <c r="H338" s="2">
        <v>-73.716369860814041</v>
      </c>
      <c r="I338" s="3" t="str">
        <f>HYPERLINK(CONCATENATE("https://faluhong.users.earthengine.app/view/hispaniola-lc-validation#id=LC337;lat=18.22294230150872;lon=-73.71636986081404;year=2011;bf=40;level=18;"), "landsat_time_series")</f>
        <v>landsat_time_series</v>
      </c>
      <c r="J338" s="3" t="str">
        <f>HYPERLINK(CONCATENATE("https://jstnbraaten.users.earthengine.app/view/landsat-timeseries-explorer#run=true;lon=-73.71636986081404;lat=18.22294230150872;from=01-01;to=12-31;index=NBR;rgb=NIR%2FRED%2FGREEN;chipwidth=1;"), "landsat_chips")</f>
        <v>landsat_chips</v>
      </c>
      <c r="K338" s="3" t="str">
        <f>HYPERLINK(CONCATENATE("https://livingatlas.arcgis.com/wayback/#ext=-73.71736986081405,18.22394230150872,-73.71536986081404,18.22194230150872"), "wayback")</f>
        <v>wayback</v>
      </c>
      <c r="L338" s="2" t="s">
        <v>21</v>
      </c>
      <c r="M338" s="5"/>
      <c r="N338" s="5" t="s">
        <v>21</v>
      </c>
    </row>
    <row r="339" spans="1:14" x14ac:dyDescent="0.35">
      <c r="A339" s="2">
        <v>338</v>
      </c>
      <c r="B339" s="2" t="s">
        <v>428</v>
      </c>
      <c r="C339" s="2" t="s">
        <v>355</v>
      </c>
      <c r="D339" s="2">
        <v>2008</v>
      </c>
      <c r="E339" s="2" t="s">
        <v>20</v>
      </c>
      <c r="F339" s="2">
        <v>1094</v>
      </c>
      <c r="G339" s="2">
        <v>18.434319684635561</v>
      </c>
      <c r="H339" s="2">
        <v>-74.06937721119499</v>
      </c>
      <c r="I339" s="3" t="str">
        <f>HYPERLINK(CONCATENATE("https://faluhong.users.earthengine.app/view/hispaniola-lc-validation#id=LC338;lat=18.43431968463556;lon=-74.06937721119499;year=2008;bf=40;level=18;"), "landsat_time_series")</f>
        <v>landsat_time_series</v>
      </c>
      <c r="J339" s="3" t="str">
        <f>HYPERLINK(CONCATENATE("https://jstnbraaten.users.earthengine.app/view/landsat-timeseries-explorer#run=true;lon=-74.06937721119499;lat=18.43431968463556;from=01-01;to=12-31;index=NBR;rgb=NIR%2FRED%2FGREEN;chipwidth=1;"), "landsat_chips")</f>
        <v>landsat_chips</v>
      </c>
      <c r="K339" s="3" t="str">
        <f>HYPERLINK(CONCATENATE("https://livingatlas.arcgis.com/wayback/#ext=-74.070377211195,18.435319684635562,-74.06837721119498,18.43331968463556"), "wayback")</f>
        <v>wayback</v>
      </c>
      <c r="L339" s="2" t="s">
        <v>921</v>
      </c>
      <c r="M339" s="5"/>
      <c r="N339" s="5" t="s">
        <v>921</v>
      </c>
    </row>
    <row r="340" spans="1:14" x14ac:dyDescent="0.35">
      <c r="A340" s="2">
        <v>339</v>
      </c>
      <c r="B340" s="2" t="s">
        <v>428</v>
      </c>
      <c r="C340" s="2" t="s">
        <v>356</v>
      </c>
      <c r="D340" s="2">
        <v>2008</v>
      </c>
      <c r="E340" s="2" t="s">
        <v>10</v>
      </c>
      <c r="F340" s="2">
        <v>1</v>
      </c>
      <c r="G340" s="2">
        <v>18.252761925394282</v>
      </c>
      <c r="H340" s="2">
        <v>-68.657013688475189</v>
      </c>
      <c r="I340" s="3" t="str">
        <f>HYPERLINK(CONCATENATE("https://faluhong.users.earthengine.app/view/hispaniola-lc-validation#id=LC339;lat=18.25276192539428;lon=-68.65701368847519;year=2008;bf=40;level=18;"), "landsat_time_series")</f>
        <v>landsat_time_series</v>
      </c>
      <c r="J340" s="3" t="str">
        <f>HYPERLINK(CONCATENATE("https://jstnbraaten.users.earthengine.app/view/landsat-timeseries-explorer#run=true;lon=-68.65701368847519;lat=18.25276192539428;from=01-01;to=12-31;index=NBR;rgb=NIR%2FRED%2FGREEN;chipwidth=1;"), "landsat_chips")</f>
        <v>landsat_chips</v>
      </c>
      <c r="K340" s="3" t="str">
        <f>HYPERLINK(CONCATENATE("https://livingatlas.arcgis.com/wayback/#ext=-68.6580136884752,18.253761925394283,-68.65601368847518,18.25176192539428"), "wayback")</f>
        <v>wayback</v>
      </c>
      <c r="L340" s="2" t="s">
        <v>18</v>
      </c>
      <c r="M340" s="5"/>
      <c r="N340" s="5" t="s">
        <v>18</v>
      </c>
    </row>
    <row r="341" spans="1:14" x14ac:dyDescent="0.35">
      <c r="A341" s="2">
        <v>340</v>
      </c>
      <c r="B341" s="2" t="s">
        <v>428</v>
      </c>
      <c r="C341" s="2" t="s">
        <v>357</v>
      </c>
      <c r="D341" s="2">
        <v>2010</v>
      </c>
      <c r="E341" s="2" t="s">
        <v>10</v>
      </c>
      <c r="F341" s="2">
        <v>1565</v>
      </c>
      <c r="G341" s="2">
        <v>18.721497424089819</v>
      </c>
      <c r="H341" s="2">
        <v>-70.570187683108813</v>
      </c>
      <c r="I341" s="3" t="str">
        <f>HYPERLINK(CONCATENATE("https://faluhong.users.earthengine.app/view/hispaniola-lc-validation#id=LC340;lat=18.72149742408982;lon=-70.57018768310881;year=2010;bf=40;level=18;"), "landsat_time_series")</f>
        <v>landsat_time_series</v>
      </c>
      <c r="J341" s="3" t="str">
        <f>HYPERLINK(CONCATENATE("https://jstnbraaten.users.earthengine.app/view/landsat-timeseries-explorer#run=true;lon=-70.57018768310881;lat=18.72149742408982;from=01-01;to=12-31;index=NBR;rgb=NIR%2FRED%2FGREEN;chipwidth=1;"), "landsat_chips")</f>
        <v>landsat_chips</v>
      </c>
      <c r="K341" s="3" t="str">
        <f>HYPERLINK(CONCATENATE("https://livingatlas.arcgis.com/wayback/#ext=-70.57118768310882,18.72249742408982,-70.56918768310881,18.720497424089817"), "wayback")</f>
        <v>wayback</v>
      </c>
      <c r="L341" s="2" t="s">
        <v>38</v>
      </c>
      <c r="M341" s="5"/>
      <c r="N341" s="5" t="s">
        <v>38</v>
      </c>
    </row>
    <row r="342" spans="1:14" x14ac:dyDescent="0.35">
      <c r="A342" s="2">
        <v>341</v>
      </c>
      <c r="B342" s="2" t="s">
        <v>428</v>
      </c>
      <c r="C342" s="2" t="s">
        <v>358</v>
      </c>
      <c r="D342" s="2">
        <v>2021</v>
      </c>
      <c r="E342" s="2" t="s">
        <v>20</v>
      </c>
      <c r="F342" s="2">
        <v>612</v>
      </c>
      <c r="G342" s="2">
        <v>18.3542405846901</v>
      </c>
      <c r="H342" s="2">
        <v>-74.254136304236297</v>
      </c>
      <c r="I342" s="3" t="str">
        <f>HYPERLINK(CONCATENATE("https://faluhong.users.earthengine.app/view/hispaniola-lc-validation#id=LC341;lat=18.354240584690103;lon=-74.2541363042363;year=2021;bf=40;level=18;"), "landsat_time_series")</f>
        <v>landsat_time_series</v>
      </c>
      <c r="J342" s="3" t="str">
        <f>HYPERLINK(CONCATENATE("https://jstnbraaten.users.earthengine.app/view/landsat-timeseries-explorer#run=true;lon=-74.2541363042363;lat=18.354240584690103;from=01-01;to=12-31;index=NBR;rgb=NIR%2FRED%2FGREEN;chipwidth=1;"), "landsat_chips")</f>
        <v>landsat_chips</v>
      </c>
      <c r="K342" s="3" t="str">
        <f>HYPERLINK(CONCATENATE("https://livingatlas.arcgis.com/wayback/#ext=-74.2551363042363,18.355240584690105,-74.25313630423629,18.353240584690102"), "wayback")</f>
        <v>wayback</v>
      </c>
      <c r="L342" s="2" t="s">
        <v>921</v>
      </c>
      <c r="M342" s="5"/>
      <c r="N342" s="5" t="s">
        <v>921</v>
      </c>
    </row>
    <row r="343" spans="1:14" x14ac:dyDescent="0.35">
      <c r="A343" s="2">
        <v>342</v>
      </c>
      <c r="B343" s="2" t="s">
        <v>428</v>
      </c>
      <c r="C343" s="2" t="s">
        <v>359</v>
      </c>
      <c r="D343" s="2">
        <v>2006</v>
      </c>
      <c r="E343" s="2" t="s">
        <v>20</v>
      </c>
      <c r="F343" s="2">
        <v>271</v>
      </c>
      <c r="G343" s="2">
        <v>18.216978536799211</v>
      </c>
      <c r="H343" s="2">
        <v>-73.023615803864757</v>
      </c>
      <c r="I343" s="3" t="str">
        <f>HYPERLINK(CONCATENATE("https://faluhong.users.earthengine.app/view/hispaniola-lc-validation#id=LC342;lat=18.216978536799207;lon=-73.02361580386476;year=2006;bf=40;level=18;"), "landsat_time_series")</f>
        <v>landsat_time_series</v>
      </c>
      <c r="J343" s="3" t="str">
        <f>HYPERLINK(CONCATENATE("https://jstnbraaten.users.earthengine.app/view/landsat-timeseries-explorer#run=true;lon=-73.02361580386476;lat=18.216978536799207;from=01-01;to=12-31;index=NBR;rgb=NIR%2FRED%2FGREEN;chipwidth=1;"), "landsat_chips")</f>
        <v>landsat_chips</v>
      </c>
      <c r="K343" s="3" t="str">
        <f>HYPERLINK(CONCATENATE("https://livingatlas.arcgis.com/wayback/#ext=-73.02461580386476,18.217978536799208,-73.02261580386475,18.215978536799206"), "wayback")</f>
        <v>wayback</v>
      </c>
      <c r="L343" s="2" t="s">
        <v>21</v>
      </c>
      <c r="M343" s="5"/>
      <c r="N343" s="5" t="s">
        <v>21</v>
      </c>
    </row>
    <row r="344" spans="1:14" x14ac:dyDescent="0.35">
      <c r="A344" s="2">
        <v>343</v>
      </c>
      <c r="B344" s="2" t="s">
        <v>428</v>
      </c>
      <c r="C344" s="2" t="s">
        <v>360</v>
      </c>
      <c r="D344" s="2">
        <v>2002</v>
      </c>
      <c r="E344" s="2" t="s">
        <v>20</v>
      </c>
      <c r="F344" s="2">
        <v>463</v>
      </c>
      <c r="G344" s="2">
        <v>19.160621392702161</v>
      </c>
      <c r="H344" s="2">
        <v>-71.726797507382514</v>
      </c>
      <c r="I344" s="3" t="str">
        <f>HYPERLINK(CONCATENATE("https://faluhong.users.earthengine.app/view/hispaniola-lc-validation#id=LC343;lat=19.160621392702165;lon=-71.72679750738251;year=2002;bf=40;level=18;"), "landsat_time_series")</f>
        <v>landsat_time_series</v>
      </c>
      <c r="J344" s="3" t="str">
        <f>HYPERLINK(CONCATENATE("https://jstnbraaten.users.earthengine.app/view/landsat-timeseries-explorer#run=true;lon=-71.72679750738251;lat=19.160621392702165;from=01-01;to=12-31;index=NBR;rgb=NIR%2FRED%2FGREEN;chipwidth=1;"), "landsat_chips")</f>
        <v>landsat_chips</v>
      </c>
      <c r="K344" s="3" t="str">
        <f>HYPERLINK(CONCATENATE("https://livingatlas.arcgis.com/wayback/#ext=-71.72779750738252,19.161621392702166,-71.72579750738251,19.159621392702164"), "wayback")</f>
        <v>wayback</v>
      </c>
      <c r="L344" s="2" t="s">
        <v>921</v>
      </c>
      <c r="M344" s="5"/>
      <c r="N344" s="5" t="s">
        <v>921</v>
      </c>
    </row>
    <row r="345" spans="1:14" x14ac:dyDescent="0.35">
      <c r="A345" s="2">
        <v>344</v>
      </c>
      <c r="B345" s="2" t="s">
        <v>428</v>
      </c>
      <c r="C345" s="2" t="s">
        <v>361</v>
      </c>
      <c r="D345" s="2">
        <v>2017</v>
      </c>
      <c r="E345" s="2" t="s">
        <v>20</v>
      </c>
      <c r="F345" s="2">
        <v>382</v>
      </c>
      <c r="G345" s="2">
        <v>18.795338785487569</v>
      </c>
      <c r="H345" s="2">
        <v>-72.239252151321764</v>
      </c>
      <c r="I345" s="3" t="str">
        <f>HYPERLINK(CONCATENATE("https://faluhong.users.earthengine.app/view/hispaniola-lc-validation#id=LC344;lat=18.79533878548757;lon=-72.23925215132176;year=2017;bf=40;level=18;"), "landsat_time_series")</f>
        <v>landsat_time_series</v>
      </c>
      <c r="J345" s="3" t="str">
        <f>HYPERLINK(CONCATENATE("https://jstnbraaten.users.earthengine.app/view/landsat-timeseries-explorer#run=true;lon=-72.23925215132176;lat=18.79533878548757;from=01-01;to=12-31;index=NBR;rgb=NIR%2FRED%2FGREEN;chipwidth=1;"), "landsat_chips")</f>
        <v>landsat_chips</v>
      </c>
      <c r="K345" s="3" t="str">
        <f>HYPERLINK(CONCATENATE("https://livingatlas.arcgis.com/wayback/#ext=-72.24025215132177,18.79633878548757,-72.23825215132176,18.794338785487568"), "wayback")</f>
        <v>wayback</v>
      </c>
      <c r="L345" s="2" t="s">
        <v>21</v>
      </c>
      <c r="M345" s="5"/>
      <c r="N345" s="5" t="s">
        <v>21</v>
      </c>
    </row>
    <row r="346" spans="1:14" x14ac:dyDescent="0.35">
      <c r="A346" s="2">
        <v>345</v>
      </c>
      <c r="B346" s="2" t="s">
        <v>428</v>
      </c>
      <c r="C346" s="2" t="s">
        <v>362</v>
      </c>
      <c r="D346" s="2">
        <v>2018</v>
      </c>
      <c r="E346" s="2" t="s">
        <v>10</v>
      </c>
      <c r="F346" s="2">
        <v>45</v>
      </c>
      <c r="G346" s="2">
        <v>18.391327910779591</v>
      </c>
      <c r="H346" s="2">
        <v>-70.557281207100559</v>
      </c>
      <c r="I346" s="3" t="str">
        <f>HYPERLINK(CONCATENATE("https://faluhong.users.earthengine.app/view/hispaniola-lc-validation#id=LC345;lat=18.391327910779594;lon=-70.55728120710056;year=2018;bf=40;level=18;"), "landsat_time_series")</f>
        <v>landsat_time_series</v>
      </c>
      <c r="J346" s="3" t="str">
        <f>HYPERLINK(CONCATENATE("https://jstnbraaten.users.earthengine.app/view/landsat-timeseries-explorer#run=true;lon=-70.55728120710056;lat=18.391327910779594;from=01-01;to=12-31;index=NBR;rgb=NIR%2FRED%2FGREEN;chipwidth=1;"), "landsat_chips")</f>
        <v>landsat_chips</v>
      </c>
      <c r="K346" s="3" t="str">
        <f>HYPERLINK(CONCATENATE("https://livingatlas.arcgis.com/wayback/#ext=-70.55828120710056,18.392327910779596,-70.55628120710055,18.390327910779593"), "wayback")</f>
        <v>wayback</v>
      </c>
      <c r="L346" s="2" t="s">
        <v>921</v>
      </c>
      <c r="M346" s="5"/>
      <c r="N346" s="5" t="s">
        <v>921</v>
      </c>
    </row>
    <row r="347" spans="1:14" x14ac:dyDescent="0.35">
      <c r="A347" s="2">
        <v>346</v>
      </c>
      <c r="B347" s="2" t="s">
        <v>428</v>
      </c>
      <c r="C347" s="2" t="s">
        <v>363</v>
      </c>
      <c r="D347" s="2">
        <v>2008</v>
      </c>
      <c r="E347" s="2" t="s">
        <v>10</v>
      </c>
      <c r="F347" s="2">
        <v>2181</v>
      </c>
      <c r="G347" s="2">
        <v>19.142696625329009</v>
      </c>
      <c r="H347" s="2">
        <v>-71.169274506479766</v>
      </c>
      <c r="I347" s="3" t="str">
        <f>HYPERLINK(CONCATENATE("https://faluhong.users.earthengine.app/view/hispaniola-lc-validation#id=LC346;lat=19.14269662532901;lon=-71.16927450647977;year=2008;bf=40;level=18;"), "landsat_time_series")</f>
        <v>landsat_time_series</v>
      </c>
      <c r="J347" s="3" t="str">
        <f>HYPERLINK(CONCATENATE("https://jstnbraaten.users.earthengine.app/view/landsat-timeseries-explorer#run=true;lon=-71.16927450647977;lat=19.14269662532901;from=01-01;to=12-31;index=NBR;rgb=NIR%2FRED%2FGREEN;chipwidth=1;"), "landsat_chips")</f>
        <v>landsat_chips</v>
      </c>
      <c r="K347" s="3" t="str">
        <f>HYPERLINK(CONCATENATE("https://livingatlas.arcgis.com/wayback/#ext=-71.17027450647977,19.14369662532901,-71.16827450647976,19.141696625329008"), "wayback")</f>
        <v>wayback</v>
      </c>
      <c r="L347" s="2" t="s">
        <v>38</v>
      </c>
      <c r="M347" s="5"/>
      <c r="N347" s="5" t="s">
        <v>21</v>
      </c>
    </row>
    <row r="348" spans="1:14" x14ac:dyDescent="0.35">
      <c r="A348" s="2">
        <v>347</v>
      </c>
      <c r="B348" s="2" t="s">
        <v>428</v>
      </c>
      <c r="C348" s="2" t="s">
        <v>364</v>
      </c>
      <c r="D348" s="2">
        <v>2017</v>
      </c>
      <c r="E348" s="2" t="s">
        <v>20</v>
      </c>
      <c r="F348" s="2">
        <v>623</v>
      </c>
      <c r="G348" s="2">
        <v>18.326436250541569</v>
      </c>
      <c r="H348" s="2">
        <v>-73.474819153582516</v>
      </c>
      <c r="I348" s="3" t="str">
        <f>HYPERLINK(CONCATENATE("https://faluhong.users.earthengine.app/view/hispaniola-lc-validation#id=LC347;lat=18.326436250541573;lon=-73.47481915358252;year=2017;bf=40;level=18;"), "landsat_time_series")</f>
        <v>landsat_time_series</v>
      </c>
      <c r="J348" s="3" t="str">
        <f>HYPERLINK(CONCATENATE("https://jstnbraaten.users.earthengine.app/view/landsat-timeseries-explorer#run=true;lon=-73.47481915358252;lat=18.326436250541573;from=01-01;to=12-31;index=NBR;rgb=NIR%2FRED%2FGREEN;chipwidth=1;"), "landsat_chips")</f>
        <v>landsat_chips</v>
      </c>
      <c r="K348" s="3" t="str">
        <f>HYPERLINK(CONCATENATE("https://livingatlas.arcgis.com/wayback/#ext=-73.47581915358252,18.327436250541574,-73.47381915358251,18.32543625054157"), "wayback")</f>
        <v>wayback</v>
      </c>
      <c r="L348" s="2" t="s">
        <v>921</v>
      </c>
      <c r="M348" s="5"/>
      <c r="N348" s="5" t="s">
        <v>921</v>
      </c>
    </row>
    <row r="349" spans="1:14" x14ac:dyDescent="0.35">
      <c r="A349" s="2">
        <v>348</v>
      </c>
      <c r="B349" s="2" t="s">
        <v>428</v>
      </c>
      <c r="C349" s="2" t="s">
        <v>365</v>
      </c>
      <c r="D349" s="2">
        <v>2016</v>
      </c>
      <c r="E349" s="2" t="s">
        <v>10</v>
      </c>
      <c r="F349" s="2">
        <v>703</v>
      </c>
      <c r="G349" s="2">
        <v>18.061040139541191</v>
      </c>
      <c r="H349" s="2">
        <v>-71.142742206129924</v>
      </c>
      <c r="I349" s="3" t="str">
        <f>HYPERLINK(CONCATENATE("https://faluhong.users.earthengine.app/view/hispaniola-lc-validation#id=LC348;lat=18.06104013954119;lon=-71.14274220612992;year=2016;bf=40;level=18;"), "landsat_time_series")</f>
        <v>landsat_time_series</v>
      </c>
      <c r="J349" s="3" t="str">
        <f>HYPERLINK(CONCATENATE("https://jstnbraaten.users.earthengine.app/view/landsat-timeseries-explorer#run=true;lon=-71.14274220612992;lat=18.06104013954119;from=01-01;to=12-31;index=NBR;rgb=NIR%2FRED%2FGREEN;chipwidth=1;"), "landsat_chips")</f>
        <v>landsat_chips</v>
      </c>
      <c r="K349" s="3" t="str">
        <f>HYPERLINK(CONCATENATE("https://livingatlas.arcgis.com/wayback/#ext=-71.14374220612993,18.062040139541192,-71.14174220612992,18.06004013954119"), "wayback")</f>
        <v>wayback</v>
      </c>
      <c r="L349" s="2" t="s">
        <v>21</v>
      </c>
      <c r="M349" s="5"/>
      <c r="N349" s="5" t="s">
        <v>921</v>
      </c>
    </row>
    <row r="350" spans="1:14" x14ac:dyDescent="0.35">
      <c r="A350" s="2">
        <v>349</v>
      </c>
      <c r="B350" s="2" t="s">
        <v>428</v>
      </c>
      <c r="C350" s="2" t="s">
        <v>366</v>
      </c>
      <c r="D350" s="2">
        <v>2002</v>
      </c>
      <c r="E350" s="2" t="s">
        <v>10</v>
      </c>
      <c r="F350" s="2">
        <v>7</v>
      </c>
      <c r="G350" s="2">
        <v>18.4552043524467</v>
      </c>
      <c r="H350" s="2">
        <v>-69.615304213956748</v>
      </c>
      <c r="I350" s="3" t="str">
        <f>HYPERLINK(CONCATENATE("https://faluhong.users.earthengine.app/view/hispaniola-lc-validation#id=LC349;lat=18.4552043524467;lon=-69.61530421395675;year=2002;bf=40;level=18;"), "landsat_time_series")</f>
        <v>landsat_time_series</v>
      </c>
      <c r="J350" s="3" t="str">
        <f>HYPERLINK(CONCATENATE("https://jstnbraaten.users.earthengine.app/view/landsat-timeseries-explorer#run=true;lon=-69.61530421395675;lat=18.4552043524467;from=01-01;to=12-31;index=NBR;rgb=NIR%2FRED%2FGREEN;chipwidth=1;"), "landsat_chips")</f>
        <v>landsat_chips</v>
      </c>
      <c r="K350" s="3" t="str">
        <f>HYPERLINK(CONCATENATE("https://livingatlas.arcgis.com/wayback/#ext=-69.61630421395675,18.4562043524467,-69.61430421395674,18.4542043524467"), "wayback")</f>
        <v>wayback</v>
      </c>
      <c r="L350" s="2" t="s">
        <v>11</v>
      </c>
      <c r="M350" s="5"/>
      <c r="N350" s="5" t="s">
        <v>11</v>
      </c>
    </row>
    <row r="351" spans="1:14" x14ac:dyDescent="0.35">
      <c r="A351" s="2">
        <v>350</v>
      </c>
      <c r="B351" s="2" t="s">
        <v>428</v>
      </c>
      <c r="C351" s="2" t="s">
        <v>367</v>
      </c>
      <c r="D351" s="2">
        <v>1996</v>
      </c>
      <c r="E351" s="2" t="s">
        <v>10</v>
      </c>
      <c r="F351" s="2">
        <v>53</v>
      </c>
      <c r="G351" s="2">
        <v>18.328132465391519</v>
      </c>
      <c r="H351" s="2">
        <v>-68.754195071476943</v>
      </c>
      <c r="I351" s="3" t="str">
        <f>HYPERLINK(CONCATENATE("https://faluhong.users.earthengine.app/view/hispaniola-lc-validation#id=LC350;lat=18.328132465391516;lon=-68.75419507147694;year=1996;bf=40;level=18;"), "landsat_time_series")</f>
        <v>landsat_time_series</v>
      </c>
      <c r="J351" s="3" t="str">
        <f>HYPERLINK(CONCATENATE("https://jstnbraaten.users.earthengine.app/view/landsat-timeseries-explorer#run=true;lon=-68.75419507147694;lat=18.328132465391516;from=01-01;to=12-31;index=NBR;rgb=NIR%2FRED%2FGREEN;chipwidth=1;"), "landsat_chips")</f>
        <v>landsat_chips</v>
      </c>
      <c r="K351" s="3" t="str">
        <f>HYPERLINK(CONCATENATE("https://livingatlas.arcgis.com/wayback/#ext=-68.75519507147695,18.329132465391517,-68.75319507147694,18.327132465391514"), "wayback")</f>
        <v>wayback</v>
      </c>
      <c r="L351" s="2" t="s">
        <v>18</v>
      </c>
      <c r="M351" s="5"/>
      <c r="N351" s="5" t="s">
        <v>18</v>
      </c>
    </row>
    <row r="352" spans="1:14" x14ac:dyDescent="0.35">
      <c r="A352" s="2">
        <v>351</v>
      </c>
      <c r="B352" s="2" t="s">
        <v>428</v>
      </c>
      <c r="C352" s="2" t="s">
        <v>368</v>
      </c>
      <c r="D352" s="2">
        <v>2004</v>
      </c>
      <c r="E352" s="2" t="s">
        <v>20</v>
      </c>
      <c r="F352" s="2">
        <v>1237</v>
      </c>
      <c r="G352" s="2">
        <v>18.340230837422538</v>
      </c>
      <c r="H352" s="2">
        <v>-73.490703740567312</v>
      </c>
      <c r="I352" s="3" t="str">
        <f>HYPERLINK(CONCATENATE("https://faluhong.users.earthengine.app/view/hispaniola-lc-validation#id=LC351;lat=18.340230837422542;lon=-73.49070374056731;year=2004;bf=40;level=18;"), "landsat_time_series")</f>
        <v>landsat_time_series</v>
      </c>
      <c r="J352" s="3" t="str">
        <f>HYPERLINK(CONCATENATE("https://jstnbraaten.users.earthengine.app/view/landsat-timeseries-explorer#run=true;lon=-73.49070374056731;lat=18.340230837422542;from=01-01;to=12-31;index=NBR;rgb=NIR%2FRED%2FGREEN;chipwidth=1;"), "landsat_chips")</f>
        <v>landsat_chips</v>
      </c>
      <c r="K352" s="3" t="str">
        <f>HYPERLINK(CONCATENATE("https://livingatlas.arcgis.com/wayback/#ext=-73.49170374056732,18.341230837422543,-73.48970374056731,18.33923083742254"), "wayback")</f>
        <v>wayback</v>
      </c>
      <c r="L352" s="2" t="s">
        <v>38</v>
      </c>
      <c r="M352" s="5"/>
      <c r="N352" s="5" t="s">
        <v>38</v>
      </c>
    </row>
    <row r="353" spans="1:14" x14ac:dyDescent="0.35">
      <c r="A353" s="2">
        <v>352</v>
      </c>
      <c r="B353" s="2" t="s">
        <v>428</v>
      </c>
      <c r="C353" s="2" t="s">
        <v>369</v>
      </c>
      <c r="D353" s="2">
        <v>2007</v>
      </c>
      <c r="E353" s="2" t="s">
        <v>10</v>
      </c>
      <c r="F353" s="2">
        <v>1223</v>
      </c>
      <c r="G353" s="2">
        <v>19.20128234410862</v>
      </c>
      <c r="H353" s="2">
        <v>-71.344789853426093</v>
      </c>
      <c r="I353" s="3" t="str">
        <f>HYPERLINK(CONCATENATE("https://faluhong.users.earthengine.app/view/hispaniola-lc-validation#id=LC352;lat=19.20128234410862;lon=-71.3447898534261;year=2007;bf=40;level=18;"), "landsat_time_series")</f>
        <v>landsat_time_series</v>
      </c>
      <c r="J353" s="3" t="str">
        <f>HYPERLINK(CONCATENATE("https://jstnbraaten.users.earthengine.app/view/landsat-timeseries-explorer#run=true;lon=-71.3447898534261;lat=19.20128234410862;from=01-01;to=12-31;index=NBR;rgb=NIR%2FRED%2FGREEN;chipwidth=1;"), "landsat_chips")</f>
        <v>landsat_chips</v>
      </c>
      <c r="K353" s="3" t="str">
        <f>HYPERLINK(CONCATENATE("https://livingatlas.arcgis.com/wayback/#ext=-71.3457898534261,19.20228234410862,-71.34378985342609,19.20028234410862"), "wayback")</f>
        <v>wayback</v>
      </c>
      <c r="L353" s="2" t="s">
        <v>38</v>
      </c>
      <c r="M353" s="5"/>
      <c r="N353" s="5" t="s">
        <v>38</v>
      </c>
    </row>
    <row r="354" spans="1:14" x14ac:dyDescent="0.35">
      <c r="A354" s="2">
        <v>353</v>
      </c>
      <c r="B354" s="2" t="s">
        <v>428</v>
      </c>
      <c r="C354" s="2" t="s">
        <v>370</v>
      </c>
      <c r="D354" s="2">
        <v>2017</v>
      </c>
      <c r="E354" s="2" t="s">
        <v>10</v>
      </c>
      <c r="F354" s="2">
        <v>1018</v>
      </c>
      <c r="G354" s="2">
        <v>19.013068444254941</v>
      </c>
      <c r="H354" s="2">
        <v>-71.319488550076585</v>
      </c>
      <c r="I354" s="3" t="str">
        <f>HYPERLINK(CONCATENATE("https://faluhong.users.earthengine.app/view/hispaniola-lc-validation#id=LC353;lat=19.01306844425494;lon=-71.31948855007658;year=2017;bf=40;level=18;"), "landsat_time_series")</f>
        <v>landsat_time_series</v>
      </c>
      <c r="J354" s="3" t="str">
        <f>HYPERLINK(CONCATENATE("https://jstnbraaten.users.earthengine.app/view/landsat-timeseries-explorer#run=true;lon=-71.31948855007658;lat=19.01306844425494;from=01-01;to=12-31;index=NBR;rgb=NIR%2FRED%2FGREEN;chipwidth=1;"), "landsat_chips")</f>
        <v>landsat_chips</v>
      </c>
      <c r="K354" s="3" t="str">
        <f>HYPERLINK(CONCATENATE("https://livingatlas.arcgis.com/wayback/#ext=-71.32048855007659,19.014068444254942,-71.31848855007658,19.01206844425494"), "wayback")</f>
        <v>wayback</v>
      </c>
      <c r="L354" s="2" t="s">
        <v>21</v>
      </c>
      <c r="M354" s="5"/>
      <c r="N354" s="5" t="s">
        <v>21</v>
      </c>
    </row>
    <row r="355" spans="1:14" x14ac:dyDescent="0.35">
      <c r="A355" s="2">
        <v>354</v>
      </c>
      <c r="B355" s="2" t="s">
        <v>428</v>
      </c>
      <c r="C355" s="2" t="s">
        <v>371</v>
      </c>
      <c r="D355" s="2">
        <v>1998</v>
      </c>
      <c r="E355" s="2" t="s">
        <v>10</v>
      </c>
      <c r="F355" s="2">
        <v>122</v>
      </c>
      <c r="G355" s="2">
        <v>18.825898546977712</v>
      </c>
      <c r="H355" s="2">
        <v>-70.014525878562765</v>
      </c>
      <c r="I355" s="3" t="str">
        <f>HYPERLINK(CONCATENATE("https://faluhong.users.earthengine.app/view/hispaniola-lc-validation#id=LC354;lat=18.82589854697771;lon=-70.01452587856276;year=1998;bf=40;level=18;"), "landsat_time_series")</f>
        <v>landsat_time_series</v>
      </c>
      <c r="J355" s="3" t="str">
        <f>HYPERLINK(CONCATENATE("https://jstnbraaten.users.earthengine.app/view/landsat-timeseries-explorer#run=true;lon=-70.01452587856276;lat=18.82589854697771;from=01-01;to=12-31;index=NBR;rgb=NIR%2FRED%2FGREEN;chipwidth=1;"), "landsat_chips")</f>
        <v>landsat_chips</v>
      </c>
      <c r="K355" s="3" t="str">
        <f>HYPERLINK(CONCATENATE("https://livingatlas.arcgis.com/wayback/#ext=-70.01552587856277,18.826898546977713,-70.01352587856276,18.82489854697771"), "wayback")</f>
        <v>wayback</v>
      </c>
      <c r="L355" s="2" t="s">
        <v>21</v>
      </c>
      <c r="M355" s="5"/>
      <c r="N355" s="5" t="s">
        <v>21</v>
      </c>
    </row>
    <row r="356" spans="1:14" x14ac:dyDescent="0.35">
      <c r="A356" s="2">
        <v>355</v>
      </c>
      <c r="B356" s="2" t="s">
        <v>428</v>
      </c>
      <c r="C356" s="2" t="s">
        <v>372</v>
      </c>
      <c r="D356" s="2">
        <v>2017</v>
      </c>
      <c r="E356" s="2" t="s">
        <v>10</v>
      </c>
      <c r="F356" s="2">
        <v>1282</v>
      </c>
      <c r="G356" s="2">
        <v>18.448917440359239</v>
      </c>
      <c r="H356" s="2">
        <v>-70.423570720642729</v>
      </c>
      <c r="I356" s="3" t="str">
        <f>HYPERLINK(CONCATENATE("https://faluhong.users.earthengine.app/view/hispaniola-lc-validation#id=LC355;lat=18.448917440359242;lon=-70.42357072064273;year=2017;bf=40;level=18;"), "landsat_time_series")</f>
        <v>landsat_time_series</v>
      </c>
      <c r="J356" s="3" t="str">
        <f>HYPERLINK(CONCATENATE("https://jstnbraaten.users.earthengine.app/view/landsat-timeseries-explorer#run=true;lon=-70.42357072064273;lat=18.448917440359242;from=01-01;to=12-31;index=NBR;rgb=NIR%2FRED%2FGREEN;chipwidth=1;"), "landsat_chips")</f>
        <v>landsat_chips</v>
      </c>
      <c r="K356" s="3" t="str">
        <f>HYPERLINK(CONCATENATE("https://livingatlas.arcgis.com/wayback/#ext=-70.42457072064273,18.449917440359243,-70.42257072064272,18.44791744035924"), "wayback")</f>
        <v>wayback</v>
      </c>
      <c r="L356" s="2" t="s">
        <v>921</v>
      </c>
      <c r="M356" s="5"/>
      <c r="N356" s="5" t="s">
        <v>921</v>
      </c>
    </row>
    <row r="357" spans="1:14" x14ac:dyDescent="0.35">
      <c r="A357" s="2">
        <v>356</v>
      </c>
      <c r="B357" s="2" t="s">
        <v>428</v>
      </c>
      <c r="C357" s="2" t="s">
        <v>373</v>
      </c>
      <c r="D357" s="2">
        <v>2017</v>
      </c>
      <c r="E357" s="2" t="s">
        <v>10</v>
      </c>
      <c r="F357" s="2">
        <v>357</v>
      </c>
      <c r="G357" s="2">
        <v>19.224707888941651</v>
      </c>
      <c r="H357" s="2">
        <v>-70.57044588284559</v>
      </c>
      <c r="I357" s="3" t="str">
        <f>HYPERLINK(CONCATENATE("https://faluhong.users.earthengine.app/view/hispaniola-lc-validation#id=LC356;lat=19.224707888941648;lon=-70.57044588284559;year=2017;bf=40;level=18;"), "landsat_time_series")</f>
        <v>landsat_time_series</v>
      </c>
      <c r="J357" s="3" t="str">
        <f>HYPERLINK(CONCATENATE("https://jstnbraaten.users.earthengine.app/view/landsat-timeseries-explorer#run=true;lon=-70.57044588284559;lat=19.224707888941648;from=01-01;to=12-31;index=NBR;rgb=NIR%2FRED%2FGREEN;chipwidth=1;"), "landsat_chips")</f>
        <v>landsat_chips</v>
      </c>
      <c r="K357" s="3" t="str">
        <f>HYPERLINK(CONCATENATE("https://livingatlas.arcgis.com/wayback/#ext=-70.5714458828456,19.22570788894165,-70.56944588284559,19.223707888941647"), "wayback")</f>
        <v>wayback</v>
      </c>
      <c r="L357" s="2" t="s">
        <v>21</v>
      </c>
      <c r="M357" s="5"/>
      <c r="N357" s="5" t="s">
        <v>21</v>
      </c>
    </row>
    <row r="358" spans="1:14" x14ac:dyDescent="0.35">
      <c r="A358" s="2">
        <v>357</v>
      </c>
      <c r="B358" s="2" t="s">
        <v>428</v>
      </c>
      <c r="C358" s="2" t="s">
        <v>374</v>
      </c>
      <c r="D358" s="2">
        <v>1999</v>
      </c>
      <c r="E358" s="2" t="s">
        <v>10</v>
      </c>
      <c r="F358" s="2">
        <v>56</v>
      </c>
      <c r="G358" s="2">
        <v>18.3261743355006</v>
      </c>
      <c r="H358" s="2">
        <v>-68.666703564089531</v>
      </c>
      <c r="I358" s="3" t="str">
        <f>HYPERLINK(CONCATENATE("https://faluhong.users.earthengine.app/view/hispaniola-lc-validation#id=LC357;lat=18.326174335500596;lon=-68.66670356408953;year=1999;bf=40;level=18;"), "landsat_time_series")</f>
        <v>landsat_time_series</v>
      </c>
      <c r="J358" s="3" t="str">
        <f>HYPERLINK(CONCATENATE("https://jstnbraaten.users.earthengine.app/view/landsat-timeseries-explorer#run=true;lon=-68.66670356408953;lat=18.326174335500596;from=01-01;to=12-31;index=NBR;rgb=NIR%2FRED%2FGREEN;chipwidth=1;"), "landsat_chips")</f>
        <v>landsat_chips</v>
      </c>
      <c r="K358" s="3" t="str">
        <f>HYPERLINK(CONCATENATE("https://livingatlas.arcgis.com/wayback/#ext=-68.66770356408954,18.327174335500597,-68.66570356408953,18.325174335500595"), "wayback")</f>
        <v>wayback</v>
      </c>
      <c r="L358" s="2" t="s">
        <v>18</v>
      </c>
      <c r="M358" s="5"/>
      <c r="N358" s="5" t="s">
        <v>18</v>
      </c>
    </row>
    <row r="359" spans="1:14" x14ac:dyDescent="0.35">
      <c r="A359" s="2">
        <v>358</v>
      </c>
      <c r="B359" s="2" t="s">
        <v>428</v>
      </c>
      <c r="C359" s="2" t="s">
        <v>375</v>
      </c>
      <c r="D359" s="2">
        <v>2013</v>
      </c>
      <c r="E359" s="2" t="s">
        <v>10</v>
      </c>
      <c r="F359" s="2">
        <v>69</v>
      </c>
      <c r="G359" s="2">
        <v>18.26795968578654</v>
      </c>
      <c r="H359" s="2">
        <v>-70.520447155656186</v>
      </c>
      <c r="I359" s="3" t="str">
        <f>HYPERLINK(CONCATENATE("https://faluhong.users.earthengine.app/view/hispaniola-lc-validation#id=LC358;lat=18.26795968578654;lon=-70.52044715565619;year=2013;bf=40;level=18;"), "landsat_time_series")</f>
        <v>landsat_time_series</v>
      </c>
      <c r="J359" s="3" t="str">
        <f>HYPERLINK(CONCATENATE("https://jstnbraaten.users.earthengine.app/view/landsat-timeseries-explorer#run=true;lon=-70.52044715565619;lat=18.26795968578654;from=01-01;to=12-31;index=NBR;rgb=NIR%2FRED%2FGREEN;chipwidth=1;"), "landsat_chips")</f>
        <v>landsat_chips</v>
      </c>
      <c r="K359" s="3" t="str">
        <f>HYPERLINK(CONCATENATE("https://livingatlas.arcgis.com/wayback/#ext=-70.52144715565619,18.26895968578654,-70.51944715565618,18.26695968578654"), "wayback")</f>
        <v>wayback</v>
      </c>
      <c r="L359" s="2" t="s">
        <v>921</v>
      </c>
      <c r="M359" s="5"/>
      <c r="N359" s="5" t="s">
        <v>921</v>
      </c>
    </row>
    <row r="360" spans="1:14" x14ac:dyDescent="0.35">
      <c r="A360" s="2">
        <v>359</v>
      </c>
      <c r="B360" s="2" t="s">
        <v>428</v>
      </c>
      <c r="C360" s="2" t="s">
        <v>376</v>
      </c>
      <c r="D360" s="2">
        <v>2017</v>
      </c>
      <c r="E360" s="2" t="s">
        <v>10</v>
      </c>
      <c r="F360" s="2">
        <v>82</v>
      </c>
      <c r="G360" s="2">
        <v>18.544583787832291</v>
      </c>
      <c r="H360" s="2">
        <v>-71.861886497689781</v>
      </c>
      <c r="I360" s="3" t="str">
        <f>HYPERLINK(CONCATENATE("https://faluhong.users.earthengine.app/view/hispaniola-lc-validation#id=LC359;lat=18.544583787832288;lon=-71.86188649768978;year=2017;bf=40;level=18;"), "landsat_time_series")</f>
        <v>landsat_time_series</v>
      </c>
      <c r="J360" s="3" t="str">
        <f>HYPERLINK(CONCATENATE("https://jstnbraaten.users.earthengine.app/view/landsat-timeseries-explorer#run=true;lon=-71.86188649768978;lat=18.544583787832288;from=01-01;to=12-31;index=NBR;rgb=NIR%2FRED%2FGREEN;chipwidth=1;"), "landsat_chips")</f>
        <v>landsat_chips</v>
      </c>
      <c r="K360" s="3" t="str">
        <f>HYPERLINK(CONCATENATE("https://livingatlas.arcgis.com/wayback/#ext=-71.86288649768979,18.54558378783229,-71.86088649768978,18.543583787832286"), "wayback")</f>
        <v>wayback</v>
      </c>
      <c r="L360" s="2" t="s">
        <v>13</v>
      </c>
      <c r="M360" s="5"/>
      <c r="N360" s="5" t="s">
        <v>13</v>
      </c>
    </row>
    <row r="361" spans="1:14" x14ac:dyDescent="0.35">
      <c r="A361" s="2">
        <v>360</v>
      </c>
      <c r="B361" s="2" t="s">
        <v>428</v>
      </c>
      <c r="C361" s="2" t="s">
        <v>377</v>
      </c>
      <c r="D361" s="2">
        <v>2017</v>
      </c>
      <c r="E361" s="2" t="s">
        <v>10</v>
      </c>
      <c r="F361" s="2">
        <v>415</v>
      </c>
      <c r="G361" s="2">
        <v>19.402456796038631</v>
      </c>
      <c r="H361" s="2">
        <v>-71.366185529705987</v>
      </c>
      <c r="I361" s="3" t="str">
        <f>HYPERLINK(CONCATENATE("https://faluhong.users.earthengine.app/view/hispaniola-lc-validation#id=LC360;lat=19.402456796038635;lon=-71.36618552970599;year=2017;bf=40;level=18;"), "landsat_time_series")</f>
        <v>landsat_time_series</v>
      </c>
      <c r="J361" s="3" t="str">
        <f>HYPERLINK(CONCATENATE("https://jstnbraaten.users.earthengine.app/view/landsat-timeseries-explorer#run=true;lon=-71.36618552970599;lat=19.402456796038635;from=01-01;to=12-31;index=NBR;rgb=NIR%2FRED%2FGREEN;chipwidth=1;"), "landsat_chips")</f>
        <v>landsat_chips</v>
      </c>
      <c r="K361" s="3" t="str">
        <f>HYPERLINK(CONCATENATE("https://livingatlas.arcgis.com/wayback/#ext=-71.36718552970599,19.403456796038636,-71.36518552970598,19.401456796038634"), "wayback")</f>
        <v>wayback</v>
      </c>
      <c r="L361" s="2" t="s">
        <v>21</v>
      </c>
      <c r="M361" s="5"/>
      <c r="N361" s="5" t="s">
        <v>921</v>
      </c>
    </row>
    <row r="362" spans="1:14" x14ac:dyDescent="0.35">
      <c r="A362" s="2">
        <v>361</v>
      </c>
      <c r="B362" s="2" t="s">
        <v>428</v>
      </c>
      <c r="C362" s="2" t="s">
        <v>378</v>
      </c>
      <c r="D362" s="2">
        <v>2020</v>
      </c>
      <c r="E362" s="2" t="s">
        <v>20</v>
      </c>
      <c r="F362" s="2">
        <v>247</v>
      </c>
      <c r="G362" s="2">
        <v>18.531363386224921</v>
      </c>
      <c r="H362" s="2">
        <v>-72.283459514118391</v>
      </c>
      <c r="I362" s="3" t="str">
        <f>HYPERLINK(CONCATENATE("https://faluhong.users.earthengine.app/view/hispaniola-lc-validation#id=LC361;lat=18.531363386224918;lon=-72.28345951411839;year=2020;bf=40;level=18;"), "landsat_time_series")</f>
        <v>landsat_time_series</v>
      </c>
      <c r="J362" s="3" t="str">
        <f>HYPERLINK(CONCATENATE("https://jstnbraaten.users.earthengine.app/view/landsat-timeseries-explorer#run=true;lon=-72.28345951411839;lat=18.531363386224918;from=01-01;to=12-31;index=NBR;rgb=NIR%2FRED%2FGREEN;chipwidth=1;"), "landsat_chips")</f>
        <v>landsat_chips</v>
      </c>
      <c r="K362" s="3" t="str">
        <f>HYPERLINK(CONCATENATE("https://livingatlas.arcgis.com/wayback/#ext=-72.2844595141184,18.53236338622492,-72.28245951411839,18.530363386224916"), "wayback")</f>
        <v>wayback</v>
      </c>
      <c r="L362" s="2" t="s">
        <v>11</v>
      </c>
      <c r="M362" s="5"/>
      <c r="N362" s="5" t="s">
        <v>11</v>
      </c>
    </row>
    <row r="363" spans="1:14" x14ac:dyDescent="0.35">
      <c r="A363" s="2">
        <v>362</v>
      </c>
      <c r="B363" s="2" t="s">
        <v>428</v>
      </c>
      <c r="C363" s="2" t="s">
        <v>379</v>
      </c>
      <c r="D363" s="2">
        <v>2015</v>
      </c>
      <c r="E363" s="2" t="s">
        <v>10</v>
      </c>
      <c r="F363" s="2">
        <v>35</v>
      </c>
      <c r="G363" s="2">
        <v>19.728131640420379</v>
      </c>
      <c r="H363" s="2">
        <v>-71.417751525814353</v>
      </c>
      <c r="I363" s="3" t="str">
        <f>HYPERLINK(CONCATENATE("https://faluhong.users.earthengine.app/view/hispaniola-lc-validation#id=LC362;lat=19.72813164042038;lon=-71.41775152581435;year=2015;bf=40;level=18;"), "landsat_time_series")</f>
        <v>landsat_time_series</v>
      </c>
      <c r="J363" s="3" t="str">
        <f>HYPERLINK(CONCATENATE("https://jstnbraaten.users.earthengine.app/view/landsat-timeseries-explorer#run=true;lon=-71.41775152581435;lat=19.72813164042038;from=01-01;to=12-31;index=NBR;rgb=NIR%2FRED%2FGREEN;chipwidth=1;"), "landsat_chips")</f>
        <v>landsat_chips</v>
      </c>
      <c r="K363" s="3" t="str">
        <f>HYPERLINK(CONCATENATE("https://livingatlas.arcgis.com/wayback/#ext=-71.41875152581436,19.72913164042038,-71.41675152581435,19.727131640420378"), "wayback")</f>
        <v>wayback</v>
      </c>
      <c r="L363" s="2" t="s">
        <v>24</v>
      </c>
      <c r="M363" s="5"/>
      <c r="N363" s="5" t="s">
        <v>15</v>
      </c>
    </row>
    <row r="364" spans="1:14" x14ac:dyDescent="0.35">
      <c r="A364" s="2">
        <v>363</v>
      </c>
      <c r="B364" s="2" t="s">
        <v>428</v>
      </c>
      <c r="C364" s="2" t="s">
        <v>380</v>
      </c>
      <c r="D364" s="2">
        <v>2022</v>
      </c>
      <c r="E364" s="2" t="s">
        <v>10</v>
      </c>
      <c r="F364" s="2">
        <v>2168</v>
      </c>
      <c r="G364" s="2">
        <v>18.73679098537826</v>
      </c>
      <c r="H364" s="2">
        <v>-70.634098186255144</v>
      </c>
      <c r="I364" s="3" t="str">
        <f>HYPERLINK(CONCATENATE("https://faluhong.users.earthengine.app/view/hispaniola-lc-validation#id=LC363;lat=18.73679098537826;lon=-70.63409818625514;year=2022;bf=40;level=18;"), "landsat_time_series")</f>
        <v>landsat_time_series</v>
      </c>
      <c r="J364" s="3" t="str">
        <f>HYPERLINK(CONCATENATE("https://jstnbraaten.users.earthengine.app/view/landsat-timeseries-explorer#run=true;lon=-70.63409818625514;lat=18.73679098537826;from=01-01;to=12-31;index=NBR;rgb=NIR%2FRED%2FGREEN;chipwidth=1;"), "landsat_chips")</f>
        <v>landsat_chips</v>
      </c>
      <c r="K364" s="3" t="str">
        <f>HYPERLINK(CONCATENATE("https://livingatlas.arcgis.com/wayback/#ext=-70.63509818625515,18.73779098537826,-70.63309818625514,18.73579098537826"), "wayback")</f>
        <v>wayback</v>
      </c>
      <c r="L364" s="2" t="s">
        <v>921</v>
      </c>
      <c r="M364" s="5"/>
      <c r="N364" s="5" t="s">
        <v>921</v>
      </c>
    </row>
    <row r="365" spans="1:14" x14ac:dyDescent="0.35">
      <c r="A365" s="2">
        <v>364</v>
      </c>
      <c r="B365" s="2" t="s">
        <v>428</v>
      </c>
      <c r="C365" s="2" t="s">
        <v>381</v>
      </c>
      <c r="D365" s="2">
        <v>2009</v>
      </c>
      <c r="E365" s="2" t="s">
        <v>20</v>
      </c>
      <c r="F365" s="2">
        <v>232</v>
      </c>
      <c r="G365" s="2">
        <v>20.042718367254079</v>
      </c>
      <c r="H365" s="2">
        <v>-72.84144963053194</v>
      </c>
      <c r="I365" s="3" t="str">
        <f>HYPERLINK(CONCATENATE("https://faluhong.users.earthengine.app/view/hispaniola-lc-validation#id=LC364;lat=20.042718367254082;lon=-72.84144963053194;year=2009;bf=40;level=18;"), "landsat_time_series")</f>
        <v>landsat_time_series</v>
      </c>
      <c r="J365" s="3" t="str">
        <f>HYPERLINK(CONCATENATE("https://jstnbraaten.users.earthengine.app/view/landsat-timeseries-explorer#run=true;lon=-72.84144963053194;lat=20.042718367254082;from=01-01;to=12-31;index=NBR;rgb=NIR%2FRED%2FGREEN;chipwidth=1;"), "landsat_chips")</f>
        <v>landsat_chips</v>
      </c>
      <c r="K365" s="3" t="str">
        <f>HYPERLINK(CONCATENATE("https://livingatlas.arcgis.com/wayback/#ext=-72.84244963053195,20.043718367254083,-72.84044963053194,20.04171836725408"), "wayback")</f>
        <v>wayback</v>
      </c>
      <c r="L365" s="2" t="s">
        <v>21</v>
      </c>
      <c r="M365" s="5"/>
      <c r="N365" s="5" t="s">
        <v>21</v>
      </c>
    </row>
    <row r="366" spans="1:14" x14ac:dyDescent="0.35">
      <c r="A366" s="2">
        <v>365</v>
      </c>
      <c r="B366" s="2" t="s">
        <v>428</v>
      </c>
      <c r="C366" s="2" t="s">
        <v>382</v>
      </c>
      <c r="D366" s="2">
        <v>2002</v>
      </c>
      <c r="E366" s="2" t="s">
        <v>20</v>
      </c>
      <c r="F366" s="2">
        <v>1558</v>
      </c>
      <c r="G366" s="2">
        <v>18.341347097820091</v>
      </c>
      <c r="H366" s="2">
        <v>-71.857236659150558</v>
      </c>
      <c r="I366" s="3" t="str">
        <f>HYPERLINK(CONCATENATE("https://faluhong.users.earthengine.app/view/hispaniola-lc-validation#id=LC365;lat=18.341347097820094;lon=-71.85723665915056;year=2002;bf=40;level=18;"), "landsat_time_series")</f>
        <v>landsat_time_series</v>
      </c>
      <c r="J366" s="3" t="str">
        <f>HYPERLINK(CONCATENATE("https://jstnbraaten.users.earthengine.app/view/landsat-timeseries-explorer#run=true;lon=-71.85723665915056;lat=18.341347097820094;from=01-01;to=12-31;index=NBR;rgb=NIR%2FRED%2FGREEN;chipwidth=1;"), "landsat_chips")</f>
        <v>landsat_chips</v>
      </c>
      <c r="K366" s="3" t="str">
        <f>HYPERLINK(CONCATENATE("https://livingatlas.arcgis.com/wayback/#ext=-71.85823665915056,18.342347097820095,-71.85623665915055,18.340347097820093"), "wayback")</f>
        <v>wayback</v>
      </c>
      <c r="L366" s="2" t="s">
        <v>921</v>
      </c>
      <c r="M366" s="5"/>
      <c r="N366" s="5" t="s">
        <v>921</v>
      </c>
    </row>
    <row r="367" spans="1:14" x14ac:dyDescent="0.35">
      <c r="A367" s="2">
        <v>366</v>
      </c>
      <c r="B367" s="2" t="s">
        <v>428</v>
      </c>
      <c r="C367" s="2" t="s">
        <v>383</v>
      </c>
      <c r="D367" s="2">
        <v>2003</v>
      </c>
      <c r="E367" s="2" t="s">
        <v>10</v>
      </c>
      <c r="F367" s="2">
        <v>112</v>
      </c>
      <c r="G367" s="2">
        <v>19.734762425932221</v>
      </c>
      <c r="H367" s="2">
        <v>-71.349459718946775</v>
      </c>
      <c r="I367" s="3" t="str">
        <f>HYPERLINK(CONCATENATE("https://faluhong.users.earthengine.app/view/hispaniola-lc-validation#id=LC366;lat=19.734762425932217;lon=-71.34945971894678;year=2003;bf=40;level=18;"), "landsat_time_series")</f>
        <v>landsat_time_series</v>
      </c>
      <c r="J367" s="3" t="str">
        <f>HYPERLINK(CONCATENATE("https://jstnbraaten.users.earthengine.app/view/landsat-timeseries-explorer#run=true;lon=-71.34945971894678;lat=19.734762425932217;from=01-01;to=12-31;index=NBR;rgb=NIR%2FRED%2FGREEN;chipwidth=1;"), "landsat_chips")</f>
        <v>landsat_chips</v>
      </c>
      <c r="K367" s="3" t="str">
        <f>HYPERLINK(CONCATENATE("https://livingatlas.arcgis.com/wayback/#ext=-71.35045971894678,19.73576242593222,-71.34845971894677,19.733762425932216"), "wayback")</f>
        <v>wayback</v>
      </c>
      <c r="L367" s="2" t="s">
        <v>921</v>
      </c>
      <c r="M367" s="5"/>
      <c r="N367" s="5" t="s">
        <v>921</v>
      </c>
    </row>
    <row r="368" spans="1:14" x14ac:dyDescent="0.35">
      <c r="A368" s="2">
        <v>367</v>
      </c>
      <c r="B368" s="2" t="s">
        <v>428</v>
      </c>
      <c r="C368" s="2" t="s">
        <v>384</v>
      </c>
      <c r="D368" s="2">
        <v>1997</v>
      </c>
      <c r="E368" s="2" t="s">
        <v>20</v>
      </c>
      <c r="F368" s="2">
        <v>3</v>
      </c>
      <c r="G368" s="2">
        <v>19.371790720950859</v>
      </c>
      <c r="H368" s="2">
        <v>-72.712960117342419</v>
      </c>
      <c r="I368" s="3" t="str">
        <f>HYPERLINK(CONCATENATE("https://faluhong.users.earthengine.app/view/hispaniola-lc-validation#id=LC367;lat=19.371790720950855;lon=-72.71296011734242;year=1997;bf=40;level=18;"), "landsat_time_series")</f>
        <v>landsat_time_series</v>
      </c>
      <c r="J368" s="3" t="str">
        <f>HYPERLINK(CONCATENATE("https://jstnbraaten.users.earthengine.app/view/landsat-timeseries-explorer#run=true;lon=-72.71296011734242;lat=19.371790720950855;from=01-01;to=12-31;index=NBR;rgb=NIR%2FRED%2FGREEN;chipwidth=1;"), "landsat_chips")</f>
        <v>landsat_chips</v>
      </c>
      <c r="K368" s="3" t="str">
        <f>HYPERLINK(CONCATENATE("https://livingatlas.arcgis.com/wayback/#ext=-72.71396011734242,19.372790720950857,-72.71196011734241,19.370790720950854"), "wayback")</f>
        <v>wayback</v>
      </c>
      <c r="L368" s="2" t="s">
        <v>24</v>
      </c>
      <c r="M368" s="5"/>
      <c r="N368" s="5" t="s">
        <v>24</v>
      </c>
    </row>
    <row r="369" spans="1:14" x14ac:dyDescent="0.35">
      <c r="A369" s="2">
        <v>368</v>
      </c>
      <c r="B369" s="2" t="s">
        <v>428</v>
      </c>
      <c r="C369" s="2" t="s">
        <v>385</v>
      </c>
      <c r="D369" s="2">
        <v>2008</v>
      </c>
      <c r="E369" s="2" t="s">
        <v>10</v>
      </c>
      <c r="F369" s="2">
        <v>392</v>
      </c>
      <c r="G369" s="2">
        <v>19.387489019601649</v>
      </c>
      <c r="H369" s="2">
        <v>-70.963404730293988</v>
      </c>
      <c r="I369" s="3" t="str">
        <f>HYPERLINK(CONCATENATE("https://faluhong.users.earthengine.app/view/hispaniola-lc-validation#id=LC368;lat=19.38748901960165;lon=-70.96340473029399;year=2008;bf=40;level=18;"), "landsat_time_series")</f>
        <v>landsat_time_series</v>
      </c>
      <c r="J369" s="3" t="str">
        <f>HYPERLINK(CONCATENATE("https://jstnbraaten.users.earthengine.app/view/landsat-timeseries-explorer#run=true;lon=-70.96340473029399;lat=19.38748901960165;from=01-01;to=12-31;index=NBR;rgb=NIR%2FRED%2FGREEN;chipwidth=1;"), "landsat_chips")</f>
        <v>landsat_chips</v>
      </c>
      <c r="K369" s="3" t="str">
        <f>HYPERLINK(CONCATENATE("https://livingatlas.arcgis.com/wayback/#ext=-70.96440473029399,19.38848901960165,-70.96240473029398,19.386489019601647"), "wayback")</f>
        <v>wayback</v>
      </c>
      <c r="L369" s="2" t="s">
        <v>21</v>
      </c>
      <c r="M369" s="5"/>
      <c r="N369" s="5" t="s">
        <v>921</v>
      </c>
    </row>
    <row r="370" spans="1:14" x14ac:dyDescent="0.35">
      <c r="A370" s="2">
        <v>369</v>
      </c>
      <c r="B370" s="2" t="s">
        <v>428</v>
      </c>
      <c r="C370" s="2" t="s">
        <v>386</v>
      </c>
      <c r="D370" s="2">
        <v>2013</v>
      </c>
      <c r="E370" s="2" t="s">
        <v>10</v>
      </c>
      <c r="F370" s="2">
        <v>6</v>
      </c>
      <c r="G370" s="2">
        <v>18.14842653550842</v>
      </c>
      <c r="H370" s="2">
        <v>-68.701996376873325</v>
      </c>
      <c r="I370" s="3" t="str">
        <f>HYPERLINK(CONCATENATE("https://faluhong.users.earthengine.app/view/hispaniola-lc-validation#id=LC369;lat=18.148426535508424;lon=-68.70199637687332;year=2013;bf=40;level=18;"), "landsat_time_series")</f>
        <v>landsat_time_series</v>
      </c>
      <c r="J370" s="3" t="str">
        <f>HYPERLINK(CONCATENATE("https://jstnbraaten.users.earthengine.app/view/landsat-timeseries-explorer#run=true;lon=-68.70199637687332;lat=18.148426535508424;from=01-01;to=12-31;index=NBR;rgb=NIR%2FRED%2FGREEN;chipwidth=1;"), "landsat_chips")</f>
        <v>landsat_chips</v>
      </c>
      <c r="K370" s="3" t="str">
        <f>HYPERLINK(CONCATENATE("https://livingatlas.arcgis.com/wayback/#ext=-68.70299637687333,18.149426535508425,-68.70099637687332,18.147426535508423"), "wayback")</f>
        <v>wayback</v>
      </c>
      <c r="L370" s="2" t="s">
        <v>18</v>
      </c>
      <c r="M370" s="5"/>
      <c r="N370" s="5" t="s">
        <v>18</v>
      </c>
    </row>
    <row r="371" spans="1:14" x14ac:dyDescent="0.35">
      <c r="A371" s="2">
        <v>370</v>
      </c>
      <c r="B371" s="2" t="s">
        <v>428</v>
      </c>
      <c r="C371" s="2" t="s">
        <v>387</v>
      </c>
      <c r="D371" s="2">
        <v>2008</v>
      </c>
      <c r="E371" s="2" t="s">
        <v>10</v>
      </c>
      <c r="F371" s="2">
        <v>493</v>
      </c>
      <c r="G371" s="2">
        <v>19.383023079606151</v>
      </c>
      <c r="H371" s="2">
        <v>-70.865570004548246</v>
      </c>
      <c r="I371" s="3" t="str">
        <f>HYPERLINK(CONCATENATE("https://faluhong.users.earthengine.app/view/hispaniola-lc-validation#id=LC370;lat=19.383023079606154;lon=-70.86557000454825;year=2008;bf=40;level=18;"), "landsat_time_series")</f>
        <v>landsat_time_series</v>
      </c>
      <c r="J371" s="3" t="str">
        <f>HYPERLINK(CONCATENATE("https://jstnbraaten.users.earthengine.app/view/landsat-timeseries-explorer#run=true;lon=-70.86557000454825;lat=19.383023079606154;from=01-01;to=12-31;index=NBR;rgb=NIR%2FRED%2FGREEN;chipwidth=1;"), "landsat_chips")</f>
        <v>landsat_chips</v>
      </c>
      <c r="K371" s="3" t="str">
        <f>HYPERLINK(CONCATENATE("https://livingatlas.arcgis.com/wayback/#ext=-70.86657000454825,19.384023079606155,-70.86457000454824,19.382023079606153"), "wayback")</f>
        <v>wayback</v>
      </c>
      <c r="L371" s="2" t="s">
        <v>11</v>
      </c>
      <c r="M371" s="5"/>
      <c r="N371" s="5" t="s">
        <v>11</v>
      </c>
    </row>
    <row r="372" spans="1:14" x14ac:dyDescent="0.35">
      <c r="A372" s="2">
        <v>371</v>
      </c>
      <c r="B372" s="2" t="s">
        <v>428</v>
      </c>
      <c r="C372" s="2" t="s">
        <v>388</v>
      </c>
      <c r="D372" s="2">
        <v>2008</v>
      </c>
      <c r="E372" s="2" t="s">
        <v>20</v>
      </c>
      <c r="F372" s="2">
        <v>17</v>
      </c>
      <c r="G372" s="2">
        <v>18.577642111979181</v>
      </c>
      <c r="H372" s="2">
        <v>-71.978624545937834</v>
      </c>
      <c r="I372" s="3" t="str">
        <f>HYPERLINK(CONCATENATE("https://faluhong.users.earthengine.app/view/hispaniola-lc-validation#id=LC371;lat=18.577642111979184;lon=-71.97862454593783;year=2008;bf=40;level=18;"), "landsat_time_series")</f>
        <v>landsat_time_series</v>
      </c>
      <c r="J372" s="3" t="str">
        <f>HYPERLINK(CONCATENATE("https://jstnbraaten.users.earthengine.app/view/landsat-timeseries-explorer#run=true;lon=-71.97862454593783;lat=18.577642111979184;from=01-01;to=12-31;index=NBR;rgb=NIR%2FRED%2FGREEN;chipwidth=1;"), "landsat_chips")</f>
        <v>landsat_chips</v>
      </c>
      <c r="K372" s="3" t="str">
        <f>HYPERLINK(CONCATENATE("https://livingatlas.arcgis.com/wayback/#ext=-71.97962454593784,18.578642111979185,-71.97762454593783,18.576642111979183"), "wayback")</f>
        <v>wayback</v>
      </c>
      <c r="L372" s="2" t="s">
        <v>15</v>
      </c>
      <c r="M372" s="5"/>
      <c r="N372" s="5" t="s">
        <v>15</v>
      </c>
    </row>
    <row r="373" spans="1:14" x14ac:dyDescent="0.35">
      <c r="A373" s="2">
        <v>372</v>
      </c>
      <c r="B373" s="2" t="s">
        <v>428</v>
      </c>
      <c r="C373" s="2" t="s">
        <v>389</v>
      </c>
      <c r="D373" s="2">
        <v>2020</v>
      </c>
      <c r="E373" s="2" t="s">
        <v>10</v>
      </c>
      <c r="F373" s="2">
        <v>2</v>
      </c>
      <c r="G373" s="2">
        <v>19.7436486166519</v>
      </c>
      <c r="H373" s="2">
        <v>-71.684380551255657</v>
      </c>
      <c r="I373" s="3" t="str">
        <f>HYPERLINK(CONCATENATE("https://faluhong.users.earthengine.app/view/hispaniola-lc-validation#id=LC372;lat=19.74364861665194;lon=-71.68438055125566;year=2020;bf=40;level=18;"), "landsat_time_series")</f>
        <v>landsat_time_series</v>
      </c>
      <c r="J373" s="3" t="str">
        <f>HYPERLINK(CONCATENATE("https://jstnbraaten.users.earthengine.app/view/landsat-timeseries-explorer#run=true;lon=-71.68438055125566;lat=19.74364861665194;from=01-01;to=12-31;index=NBR;rgb=NIR%2FRED%2FGREEN;chipwidth=1;"), "landsat_chips")</f>
        <v>landsat_chips</v>
      </c>
      <c r="K373" s="3" t="str">
        <f>HYPERLINK(CONCATENATE("https://livingatlas.arcgis.com/wayback/#ext=-71.68538055125566,19.74464861665194,-71.68338055125565,19.742648616651937"), "wayback")</f>
        <v>wayback</v>
      </c>
      <c r="L373" s="2" t="s">
        <v>13</v>
      </c>
      <c r="M373" s="5"/>
      <c r="N373" s="5" t="s">
        <v>21</v>
      </c>
    </row>
    <row r="374" spans="1:14" x14ac:dyDescent="0.35">
      <c r="A374" s="2">
        <v>373</v>
      </c>
      <c r="B374" s="2" t="s">
        <v>428</v>
      </c>
      <c r="C374" s="2" t="s">
        <v>390</v>
      </c>
      <c r="D374" s="2">
        <v>2019</v>
      </c>
      <c r="E374" s="2" t="s">
        <v>10</v>
      </c>
      <c r="F374" s="2">
        <v>1692</v>
      </c>
      <c r="G374" s="2">
        <v>18.986153719176041</v>
      </c>
      <c r="H374" s="2">
        <v>-70.698489229672091</v>
      </c>
      <c r="I374" s="3" t="str">
        <f>HYPERLINK(CONCATENATE("https://faluhong.users.earthengine.app/view/hispaniola-lc-validation#id=LC373;lat=18.98615371917604;lon=-70.69848922967209;year=2019;bf=40;level=18;"), "landsat_time_series")</f>
        <v>landsat_time_series</v>
      </c>
      <c r="J374" s="3" t="str">
        <f>HYPERLINK(CONCATENATE("https://jstnbraaten.users.earthengine.app/view/landsat-timeseries-explorer#run=true;lon=-70.69848922967209;lat=18.98615371917604;from=01-01;to=12-31;index=NBR;rgb=NIR%2FRED%2FGREEN;chipwidth=1;"), "landsat_chips")</f>
        <v>landsat_chips</v>
      </c>
      <c r="K374" s="3" t="str">
        <f>HYPERLINK(CONCATENATE("https://livingatlas.arcgis.com/wayback/#ext=-70.6994892296721,18.987153719176042,-70.69748922967209,18.98515371917604"), "wayback")</f>
        <v>wayback</v>
      </c>
      <c r="L374" s="2" t="s">
        <v>38</v>
      </c>
      <c r="M374" s="5"/>
      <c r="N374" s="5" t="s">
        <v>38</v>
      </c>
    </row>
    <row r="375" spans="1:14" x14ac:dyDescent="0.35">
      <c r="A375" s="2">
        <v>374</v>
      </c>
      <c r="B375" s="2" t="s">
        <v>428</v>
      </c>
      <c r="C375" s="2" t="s">
        <v>391</v>
      </c>
      <c r="D375" s="2">
        <v>2019</v>
      </c>
      <c r="E375" s="2" t="s">
        <v>10</v>
      </c>
      <c r="F375" s="2">
        <v>4</v>
      </c>
      <c r="G375" s="2">
        <v>18.386195846728029</v>
      </c>
      <c r="H375" s="2">
        <v>-71.36303079998801</v>
      </c>
      <c r="I375" s="3" t="str">
        <f>HYPERLINK(CONCATENATE("https://faluhong.users.earthengine.app/view/hispaniola-lc-validation#id=LC374;lat=18.386195846728025;lon=-71.36303079998801;year=2019;bf=40;level=18;"), "landsat_time_series")</f>
        <v>landsat_time_series</v>
      </c>
      <c r="J375" s="3" t="str">
        <f>HYPERLINK(CONCATENATE("https://jstnbraaten.users.earthengine.app/view/landsat-timeseries-explorer#run=true;lon=-71.36303079998801;lat=18.386195846728025;from=01-01;to=12-31;index=NBR;rgb=NIR%2FRED%2FGREEN;chipwidth=1;"), "landsat_chips")</f>
        <v>landsat_chips</v>
      </c>
      <c r="K375" s="3" t="str">
        <f>HYPERLINK(CONCATENATE("https://livingatlas.arcgis.com/wayback/#ext=-71.36403079998802,18.387195846728027,-71.362030799988,18.385195846728024"), "wayback")</f>
        <v>wayback</v>
      </c>
      <c r="L375" s="2" t="s">
        <v>13</v>
      </c>
      <c r="M375" s="5" t="b">
        <v>1</v>
      </c>
      <c r="N375" s="5"/>
    </row>
    <row r="376" spans="1:14" x14ac:dyDescent="0.35">
      <c r="A376" s="2">
        <v>375</v>
      </c>
      <c r="B376" s="2" t="s">
        <v>428</v>
      </c>
      <c r="C376" s="2" t="s">
        <v>392</v>
      </c>
      <c r="D376" s="2">
        <v>2020</v>
      </c>
      <c r="E376" s="2" t="s">
        <v>20</v>
      </c>
      <c r="F376" s="2">
        <v>199</v>
      </c>
      <c r="G376" s="2">
        <v>18.888108473247989</v>
      </c>
      <c r="H376" s="2">
        <v>-72.297193730519083</v>
      </c>
      <c r="I376" s="3" t="str">
        <f>HYPERLINK(CONCATENATE("https://faluhong.users.earthengine.app/view/hispaniola-lc-validation#id=LC375;lat=18.88810847324799;lon=-72.29719373051908;year=2020;bf=40;level=18;"), "landsat_time_series")</f>
        <v>landsat_time_series</v>
      </c>
      <c r="J376" s="3" t="str">
        <f>HYPERLINK(CONCATENATE("https://jstnbraaten.users.earthengine.app/view/landsat-timeseries-explorer#run=true;lon=-72.29719373051908;lat=18.88810847324799;from=01-01;to=12-31;index=NBR;rgb=NIR%2FRED%2FGREEN;chipwidth=1;"), "landsat_chips")</f>
        <v>landsat_chips</v>
      </c>
      <c r="K376" s="3" t="str">
        <f>HYPERLINK(CONCATENATE("https://livingatlas.arcgis.com/wayback/#ext=-72.29819373051909,18.88910847324799,-72.29619373051908,18.887108473247988"), "wayback")</f>
        <v>wayback</v>
      </c>
      <c r="L376" s="2" t="s">
        <v>21</v>
      </c>
      <c r="M376" s="5"/>
      <c r="N376" s="5" t="s">
        <v>21</v>
      </c>
    </row>
    <row r="377" spans="1:14" x14ac:dyDescent="0.35">
      <c r="A377" s="2">
        <v>376</v>
      </c>
      <c r="B377" s="2" t="s">
        <v>428</v>
      </c>
      <c r="C377" s="2" t="s">
        <v>393</v>
      </c>
      <c r="D377" s="2">
        <v>2008</v>
      </c>
      <c r="E377" s="2" t="s">
        <v>20</v>
      </c>
      <c r="F377" s="2">
        <v>478</v>
      </c>
      <c r="G377" s="2">
        <v>19.578443011389581</v>
      </c>
      <c r="H377" s="2">
        <v>-72.264087568656777</v>
      </c>
      <c r="I377" s="3" t="str">
        <f>HYPERLINK(CONCATENATE("https://faluhong.users.earthengine.app/view/hispaniola-lc-validation#id=LC376;lat=19.57844301138958;lon=-72.26408756865678;year=2008;bf=40;level=18;"), "landsat_time_series")</f>
        <v>landsat_time_series</v>
      </c>
      <c r="J377" s="3" t="str">
        <f>HYPERLINK(CONCATENATE("https://jstnbraaten.users.earthengine.app/view/landsat-timeseries-explorer#run=true;lon=-72.26408756865678;lat=19.57844301138958;from=01-01;to=12-31;index=NBR;rgb=NIR%2FRED%2FGREEN;chipwidth=1;"), "landsat_chips")</f>
        <v>landsat_chips</v>
      </c>
      <c r="K377" s="3" t="str">
        <f>HYPERLINK(CONCATENATE("https://livingatlas.arcgis.com/wayback/#ext=-72.26508756865678,19.579443011389582,-72.26308756865677,19.57744301138958"), "wayback")</f>
        <v>wayback</v>
      </c>
      <c r="L377" s="2" t="s">
        <v>21</v>
      </c>
      <c r="M377" s="5"/>
      <c r="N377" s="5" t="s">
        <v>21</v>
      </c>
    </row>
    <row r="378" spans="1:14" x14ac:dyDescent="0.35">
      <c r="A378" s="2">
        <v>377</v>
      </c>
      <c r="B378" s="2" t="s">
        <v>428</v>
      </c>
      <c r="C378" s="2" t="s">
        <v>394</v>
      </c>
      <c r="D378" s="2">
        <v>2011</v>
      </c>
      <c r="E378" s="2" t="s">
        <v>20</v>
      </c>
      <c r="F378" s="2">
        <v>336</v>
      </c>
      <c r="G378" s="2">
        <v>19.768272548266349</v>
      </c>
      <c r="H378" s="2">
        <v>-72.904877090707004</v>
      </c>
      <c r="I378" s="3" t="str">
        <f>HYPERLINK(CONCATENATE("https://faluhong.users.earthengine.app/view/hispaniola-lc-validation#id=LC377;lat=19.76827254826635;lon=-72.904877090707;year=2011;bf=40;level=18;"), "landsat_time_series")</f>
        <v>landsat_time_series</v>
      </c>
      <c r="J378" s="3" t="str">
        <f>HYPERLINK(CONCATENATE("https://jstnbraaten.users.earthengine.app/view/landsat-timeseries-explorer#run=true;lon=-72.904877090707;lat=19.76827254826635;from=01-01;to=12-31;index=NBR;rgb=NIR%2FRED%2FGREEN;chipwidth=1;"), "landsat_chips")</f>
        <v>landsat_chips</v>
      </c>
      <c r="K378" s="3" t="str">
        <f>HYPERLINK(CONCATENATE("https://livingatlas.arcgis.com/wayback/#ext=-72.90587709070701,19.76927254826635,-72.903877090707,19.767272548266348"), "wayback")</f>
        <v>wayback</v>
      </c>
      <c r="L378" s="2" t="s">
        <v>921</v>
      </c>
      <c r="M378" s="5"/>
      <c r="N378" s="5" t="s">
        <v>921</v>
      </c>
    </row>
    <row r="379" spans="1:14" x14ac:dyDescent="0.35">
      <c r="A379" s="2">
        <v>378</v>
      </c>
      <c r="B379" s="2" t="s">
        <v>428</v>
      </c>
      <c r="C379" s="2" t="s">
        <v>395</v>
      </c>
      <c r="D379" s="2">
        <v>2018</v>
      </c>
      <c r="E379" s="2" t="s">
        <v>20</v>
      </c>
      <c r="F379" s="2">
        <v>8</v>
      </c>
      <c r="G379" s="2">
        <v>18.546203262101098</v>
      </c>
      <c r="H379" s="2">
        <v>-72.457246967434685</v>
      </c>
      <c r="I379" s="3" t="str">
        <f>HYPERLINK(CONCATENATE("https://faluhong.users.earthengine.app/view/hispaniola-lc-validation#id=LC378;lat=18.5462032621011;lon=-72.45724696743468;year=2018;bf=40;level=18;"), "landsat_time_series")</f>
        <v>landsat_time_series</v>
      </c>
      <c r="J379" s="3" t="str">
        <f>HYPERLINK(CONCATENATE("https://jstnbraaten.users.earthengine.app/view/landsat-timeseries-explorer#run=true;lon=-72.45724696743468;lat=18.5462032621011;from=01-01;to=12-31;index=NBR;rgb=NIR%2FRED%2FGREEN;chipwidth=1;"), "landsat_chips")</f>
        <v>landsat_chips</v>
      </c>
      <c r="K379" s="3" t="str">
        <f>HYPERLINK(CONCATENATE("https://livingatlas.arcgis.com/wayback/#ext=-72.45824696743469,18.5472032621011,-72.45624696743468,18.545203262101097"), "wayback")</f>
        <v>wayback</v>
      </c>
      <c r="L379" s="2" t="s">
        <v>921</v>
      </c>
      <c r="M379" s="5"/>
      <c r="N379" s="5" t="s">
        <v>21</v>
      </c>
    </row>
    <row r="380" spans="1:14" x14ac:dyDescent="0.35">
      <c r="A380" s="2">
        <v>379</v>
      </c>
      <c r="B380" s="2" t="s">
        <v>428</v>
      </c>
      <c r="C380" s="2" t="s">
        <v>396</v>
      </c>
      <c r="D380" s="2">
        <v>2000</v>
      </c>
      <c r="E380" s="2" t="s">
        <v>10</v>
      </c>
      <c r="F380" s="2">
        <v>8</v>
      </c>
      <c r="G380" s="2">
        <v>18.453390714323699</v>
      </c>
      <c r="H380" s="2">
        <v>-71.33833576791433</v>
      </c>
      <c r="I380" s="3" t="str">
        <f>HYPERLINK(CONCATENATE("https://faluhong.users.earthengine.app/view/hispaniola-lc-validation#id=LC379;lat=18.4533907143237;lon=-71.33833576791433;year=2000;bf=40;level=18;"), "landsat_time_series")</f>
        <v>landsat_time_series</v>
      </c>
      <c r="J380" s="3" t="str">
        <f>HYPERLINK(CONCATENATE("https://jstnbraaten.users.earthengine.app/view/landsat-timeseries-explorer#run=true;lon=-71.33833576791433;lat=18.4533907143237;from=01-01;to=12-31;index=NBR;rgb=NIR%2FRED%2FGREEN;chipwidth=1;"), "landsat_chips")</f>
        <v>landsat_chips</v>
      </c>
      <c r="K380" s="3" t="str">
        <f>HYPERLINK(CONCATENATE("https://livingatlas.arcgis.com/wayback/#ext=-71.33933576791433,18.4543907143237,-71.33733576791433,18.4523907143237"), "wayback")</f>
        <v>wayback</v>
      </c>
      <c r="L380" s="2" t="s">
        <v>13</v>
      </c>
      <c r="M380" s="5"/>
      <c r="N380" s="5" t="s">
        <v>13</v>
      </c>
    </row>
    <row r="381" spans="1:14" x14ac:dyDescent="0.35">
      <c r="A381" s="2">
        <v>380</v>
      </c>
      <c r="B381" s="2" t="s">
        <v>428</v>
      </c>
      <c r="C381" s="2" t="s">
        <v>397</v>
      </c>
      <c r="D381" s="2">
        <v>2012</v>
      </c>
      <c r="E381" s="2" t="s">
        <v>10</v>
      </c>
      <c r="F381" s="2">
        <v>1220</v>
      </c>
      <c r="G381" s="2">
        <v>19.24199780021015</v>
      </c>
      <c r="H381" s="2">
        <v>-71.002322184287706</v>
      </c>
      <c r="I381" s="3" t="str">
        <f>HYPERLINK(CONCATENATE("https://faluhong.users.earthengine.app/view/hispaniola-lc-validation#id=LC380;lat=19.24199780021015;lon=-71.0023221842877;year=2012;bf=40;level=18;"), "landsat_time_series")</f>
        <v>landsat_time_series</v>
      </c>
      <c r="J381" s="3" t="str">
        <f>HYPERLINK(CONCATENATE("https://jstnbraaten.users.earthengine.app/view/landsat-timeseries-explorer#run=true;lon=-71.0023221842877;lat=19.24199780021015;from=01-01;to=12-31;index=NBR;rgb=NIR%2FRED%2FGREEN;chipwidth=1;"), "landsat_chips")</f>
        <v>landsat_chips</v>
      </c>
      <c r="K381" s="3" t="str">
        <f>HYPERLINK(CONCATENATE("https://livingatlas.arcgis.com/wayback/#ext=-71.00332218428771,19.24299780021015,-71.0013221842877,19.24099780021015"), "wayback")</f>
        <v>wayback</v>
      </c>
      <c r="L381" s="2" t="s">
        <v>38</v>
      </c>
      <c r="M381" s="5"/>
      <c r="N381" s="5" t="s">
        <v>21</v>
      </c>
    </row>
    <row r="382" spans="1:14" x14ac:dyDescent="0.35">
      <c r="A382" s="2">
        <v>381</v>
      </c>
      <c r="B382" s="2" t="s">
        <v>428</v>
      </c>
      <c r="C382" s="2" t="s">
        <v>398</v>
      </c>
      <c r="D382" s="2">
        <v>2008</v>
      </c>
      <c r="E382" s="2" t="s">
        <v>10</v>
      </c>
      <c r="F382" s="2">
        <v>6</v>
      </c>
      <c r="G382" s="2">
        <v>19.866857741972549</v>
      </c>
      <c r="H382" s="2">
        <v>-71.651797979979165</v>
      </c>
      <c r="I382" s="3" t="str">
        <f>HYPERLINK(CONCATENATE("https://faluhong.users.earthengine.app/view/hispaniola-lc-validation#id=LC381;lat=19.866857741972552;lon=-71.65179797997916;year=2008;bf=40;level=18;"), "landsat_time_series")</f>
        <v>landsat_time_series</v>
      </c>
      <c r="J382" s="3" t="str">
        <f>HYPERLINK(CONCATENATE("https://jstnbraaten.users.earthengine.app/view/landsat-timeseries-explorer#run=true;lon=-71.65179797997916;lat=19.866857741972552;from=01-01;to=12-31;index=NBR;rgb=NIR%2FRED%2FGREEN;chipwidth=1;"), "landsat_chips")</f>
        <v>landsat_chips</v>
      </c>
      <c r="K382" s="3" t="str">
        <f>HYPERLINK(CONCATENATE("https://livingatlas.arcgis.com/wayback/#ext=-71.65279797997917,19.867857741972553,-71.65079797997916,19.86585774197255"), "wayback")</f>
        <v>wayback</v>
      </c>
      <c r="L382" s="2" t="s">
        <v>24</v>
      </c>
      <c r="M382" s="5"/>
      <c r="N382" s="5" t="s">
        <v>24</v>
      </c>
    </row>
    <row r="383" spans="1:14" x14ac:dyDescent="0.35">
      <c r="A383" s="2">
        <v>382</v>
      </c>
      <c r="B383" s="2" t="s">
        <v>428</v>
      </c>
      <c r="C383" s="2" t="s">
        <v>399</v>
      </c>
      <c r="D383" s="2">
        <v>2013</v>
      </c>
      <c r="E383" s="2" t="s">
        <v>10</v>
      </c>
      <c r="F383" s="2">
        <v>1366</v>
      </c>
      <c r="G383" s="2">
        <v>18.70277991814087</v>
      </c>
      <c r="H383" s="2">
        <v>-71.747239731324129</v>
      </c>
      <c r="I383" s="3" t="str">
        <f>HYPERLINK(CONCATENATE("https://faluhong.users.earthengine.app/view/hispaniola-lc-validation#id=LC382;lat=18.70277991814087;lon=-71.74723973132413;year=2013;bf=40;level=18;"), "landsat_time_series")</f>
        <v>landsat_time_series</v>
      </c>
      <c r="J383" s="3" t="str">
        <f>HYPERLINK(CONCATENATE("https://jstnbraaten.users.earthengine.app/view/landsat-timeseries-explorer#run=true;lon=-71.74723973132413;lat=18.70277991814087;from=01-01;to=12-31;index=NBR;rgb=NIR%2FRED%2FGREEN;chipwidth=1;"), "landsat_chips")</f>
        <v>landsat_chips</v>
      </c>
      <c r="K383" s="3" t="str">
        <f>HYPERLINK(CONCATENATE("https://livingatlas.arcgis.com/wayback/#ext=-71.74823973132413,18.70377991814087,-71.74623973132412,18.70177991814087"), "wayback")</f>
        <v>wayback</v>
      </c>
      <c r="L383" s="2" t="s">
        <v>921</v>
      </c>
      <c r="M383" s="5"/>
      <c r="N383" s="5" t="s">
        <v>921</v>
      </c>
    </row>
    <row r="384" spans="1:14" x14ac:dyDescent="0.35">
      <c r="A384" s="2">
        <v>383</v>
      </c>
      <c r="B384" s="2" t="s">
        <v>428</v>
      </c>
      <c r="C384" s="2" t="s">
        <v>400</v>
      </c>
      <c r="D384" s="2">
        <v>2009</v>
      </c>
      <c r="E384" s="2" t="s">
        <v>10</v>
      </c>
      <c r="F384" s="2">
        <v>129</v>
      </c>
      <c r="G384" s="2">
        <v>17.74467927801226</v>
      </c>
      <c r="H384" s="2">
        <v>-71.428395686441291</v>
      </c>
      <c r="I384" s="3" t="str">
        <f>HYPERLINK(CONCATENATE("https://faluhong.users.earthengine.app/view/hispaniola-lc-validation#id=LC383;lat=17.744679278012256;lon=-71.42839568644129;year=2009;bf=40;level=18;"), "landsat_time_series")</f>
        <v>landsat_time_series</v>
      </c>
      <c r="J384" s="3" t="str">
        <f>HYPERLINK(CONCATENATE("https://jstnbraaten.users.earthengine.app/view/landsat-timeseries-explorer#run=true;lon=-71.42839568644129;lat=17.744679278012256;from=01-01;to=12-31;index=NBR;rgb=NIR%2FRED%2FGREEN;chipwidth=1;"), "landsat_chips")</f>
        <v>landsat_chips</v>
      </c>
      <c r="K384" s="3" t="str">
        <f>HYPERLINK(CONCATENATE("https://livingatlas.arcgis.com/wayback/#ext=-71.4293956864413,17.745679278012258,-71.42739568644129,17.743679278012255"), "wayback")</f>
        <v>wayback</v>
      </c>
      <c r="L384" s="2" t="s">
        <v>18</v>
      </c>
      <c r="M384" s="5"/>
      <c r="N384" s="5" t="s">
        <v>18</v>
      </c>
    </row>
    <row r="385" spans="1:14" x14ac:dyDescent="0.35">
      <c r="A385" s="2">
        <v>384</v>
      </c>
      <c r="B385" s="2" t="s">
        <v>428</v>
      </c>
      <c r="C385" s="2" t="s">
        <v>401</v>
      </c>
      <c r="D385" s="2">
        <v>2008</v>
      </c>
      <c r="E385" s="2" t="s">
        <v>10</v>
      </c>
      <c r="F385" s="2">
        <v>328</v>
      </c>
      <c r="G385" s="2">
        <v>19.25102451959339</v>
      </c>
      <c r="H385" s="2">
        <v>-70.679763273401562</v>
      </c>
      <c r="I385" s="3" t="str">
        <f>HYPERLINK(CONCATENATE("https://faluhong.users.earthengine.app/view/hispaniola-lc-validation#id=LC384;lat=19.251024519593386;lon=-70.67976327340156;year=2008;bf=40;level=18;"), "landsat_time_series")</f>
        <v>landsat_time_series</v>
      </c>
      <c r="J385" s="3" t="str">
        <f>HYPERLINK(CONCATENATE("https://jstnbraaten.users.earthengine.app/view/landsat-timeseries-explorer#run=true;lon=-70.67976327340156;lat=19.251024519593386;from=01-01;to=12-31;index=NBR;rgb=NIR%2FRED%2FGREEN;chipwidth=1;"), "landsat_chips")</f>
        <v>landsat_chips</v>
      </c>
      <c r="K385" s="3" t="str">
        <f>HYPERLINK(CONCATENATE("https://livingatlas.arcgis.com/wayback/#ext=-70.68076327340157,19.252024519593387,-70.67876327340156,19.250024519593385"), "wayback")</f>
        <v>wayback</v>
      </c>
      <c r="L385" s="2" t="s">
        <v>21</v>
      </c>
      <c r="M385" s="5" t="b">
        <v>1</v>
      </c>
      <c r="N385" s="5"/>
    </row>
    <row r="386" spans="1:14" x14ac:dyDescent="0.35">
      <c r="A386" s="2">
        <v>385</v>
      </c>
      <c r="B386" s="2" t="s">
        <v>428</v>
      </c>
      <c r="C386" s="2" t="s">
        <v>402</v>
      </c>
      <c r="D386" s="2">
        <v>2018</v>
      </c>
      <c r="E386" s="2" t="s">
        <v>10</v>
      </c>
      <c r="F386" s="2">
        <v>54</v>
      </c>
      <c r="G386" s="2">
        <v>18.81417965724367</v>
      </c>
      <c r="H386" s="2">
        <v>-69.927016732890735</v>
      </c>
      <c r="I386" s="3" t="str">
        <f>HYPERLINK(CONCATENATE("https://faluhong.users.earthengine.app/view/hispaniola-lc-validation#id=LC385;lat=18.81417965724367;lon=-69.92701673289073;year=2018;bf=40;level=18;"), "landsat_time_series")</f>
        <v>landsat_time_series</v>
      </c>
      <c r="J386" s="3" t="str">
        <f>HYPERLINK(CONCATENATE("https://jstnbraaten.users.earthengine.app/view/landsat-timeseries-explorer#run=true;lon=-69.92701673289073;lat=18.81417965724367;from=01-01;to=12-31;index=NBR;rgb=NIR%2FRED%2FGREEN;chipwidth=1;"), "landsat_chips")</f>
        <v>landsat_chips</v>
      </c>
      <c r="K386" s="3" t="str">
        <f>HYPERLINK(CONCATENATE("https://livingatlas.arcgis.com/wayback/#ext=-69.92801673289074,18.81517965724367,-69.92601673289073,18.81317965724367"), "wayback")</f>
        <v>wayback</v>
      </c>
      <c r="L386" s="2" t="s">
        <v>13</v>
      </c>
      <c r="M386" s="5"/>
      <c r="N386" s="5" t="s">
        <v>921</v>
      </c>
    </row>
    <row r="387" spans="1:14" x14ac:dyDescent="0.35">
      <c r="A387" s="2">
        <v>386</v>
      </c>
      <c r="B387" s="2" t="s">
        <v>428</v>
      </c>
      <c r="C387" s="2" t="s">
        <v>403</v>
      </c>
      <c r="D387" s="2">
        <v>2018</v>
      </c>
      <c r="E387" s="2" t="s">
        <v>10</v>
      </c>
      <c r="F387" s="2">
        <v>19</v>
      </c>
      <c r="G387" s="2">
        <v>17.57135848803437</v>
      </c>
      <c r="H387" s="2">
        <v>-71.49374147551103</v>
      </c>
      <c r="I387" s="3" t="str">
        <f>HYPERLINK(CONCATENATE("https://faluhong.users.earthengine.app/view/hispaniola-lc-validation#id=LC386;lat=17.571358488034367;lon=-71.49374147551103;year=2018;bf=40;level=18;"), "landsat_time_series")</f>
        <v>landsat_time_series</v>
      </c>
      <c r="J387" s="3" t="str">
        <f>HYPERLINK(CONCATENATE("https://jstnbraaten.users.earthengine.app/view/landsat-timeseries-explorer#run=true;lon=-71.49374147551103;lat=17.571358488034367;from=01-01;to=12-31;index=NBR;rgb=NIR%2FRED%2FGREEN;chipwidth=1;"), "landsat_chips")</f>
        <v>landsat_chips</v>
      </c>
      <c r="K387" s="3" t="str">
        <f>HYPERLINK(CONCATENATE("https://livingatlas.arcgis.com/wayback/#ext=-71.49474147551103,17.572358488034368,-71.49274147551102,17.570358488034366"), "wayback")</f>
        <v>wayback</v>
      </c>
      <c r="L387" s="2" t="s">
        <v>18</v>
      </c>
      <c r="M387" s="5"/>
      <c r="N387" s="5" t="s">
        <v>18</v>
      </c>
    </row>
    <row r="388" spans="1:14" x14ac:dyDescent="0.35">
      <c r="A388" s="2">
        <v>387</v>
      </c>
      <c r="B388" s="2" t="s">
        <v>428</v>
      </c>
      <c r="C388" s="2" t="s">
        <v>404</v>
      </c>
      <c r="D388" s="2">
        <v>2014</v>
      </c>
      <c r="E388" s="2" t="s">
        <v>10</v>
      </c>
      <c r="F388" s="2">
        <v>1046</v>
      </c>
      <c r="G388" s="2">
        <v>18.184673120839101</v>
      </c>
      <c r="H388" s="2">
        <v>-71.688835765628511</v>
      </c>
      <c r="I388" s="3" t="str">
        <f>HYPERLINK(CONCATENATE("https://faluhong.users.earthengine.app/view/hispaniola-lc-validation#id=LC387;lat=18.184673120839104;lon=-71.68883576562851;year=2014;bf=40;level=18;"), "landsat_time_series")</f>
        <v>landsat_time_series</v>
      </c>
      <c r="J388" s="3" t="str">
        <f>HYPERLINK(CONCATENATE("https://jstnbraaten.users.earthengine.app/view/landsat-timeseries-explorer#run=true;lon=-71.68883576562851;lat=18.184673120839104;from=01-01;to=12-31;index=NBR;rgb=NIR%2FRED%2FGREEN;chipwidth=1;"), "landsat_chips")</f>
        <v>landsat_chips</v>
      </c>
      <c r="K388" s="3" t="str">
        <f>HYPERLINK(CONCATENATE("https://livingatlas.arcgis.com/wayback/#ext=-71.68983576562852,18.185673120839105,-71.6878357656285,18.183673120839103"), "wayback")</f>
        <v>wayback</v>
      </c>
      <c r="L388" s="2" t="s">
        <v>921</v>
      </c>
      <c r="M388" s="5"/>
      <c r="N388" s="5" t="s">
        <v>921</v>
      </c>
    </row>
    <row r="389" spans="1:14" x14ac:dyDescent="0.35">
      <c r="A389" s="2">
        <v>388</v>
      </c>
      <c r="B389" s="2" t="s">
        <v>428</v>
      </c>
      <c r="C389" s="2" t="s">
        <v>405</v>
      </c>
      <c r="D389" s="2">
        <v>2001</v>
      </c>
      <c r="E389" s="2" t="s">
        <v>10</v>
      </c>
      <c r="F389" s="2">
        <v>302</v>
      </c>
      <c r="G389" s="2">
        <v>19.057591098852921</v>
      </c>
      <c r="H389" s="2">
        <v>-71.704545111501005</v>
      </c>
      <c r="I389" s="3" t="str">
        <f>HYPERLINK(CONCATENATE("https://faluhong.users.earthengine.app/view/hispaniola-lc-validation#id=LC388;lat=19.05759109885292;lon=-71.704545111501;year=2001;bf=40;level=18;"), "landsat_time_series")</f>
        <v>landsat_time_series</v>
      </c>
      <c r="J389" s="3" t="str">
        <f>HYPERLINK(CONCATENATE("https://jstnbraaten.users.earthengine.app/view/landsat-timeseries-explorer#run=true;lon=-71.704545111501;lat=19.05759109885292;from=01-01;to=12-31;index=NBR;rgb=NIR%2FRED%2FGREEN;chipwidth=1;"), "landsat_chips")</f>
        <v>landsat_chips</v>
      </c>
      <c r="K389" s="3" t="str">
        <f>HYPERLINK(CONCATENATE("https://livingatlas.arcgis.com/wayback/#ext=-71.70554511150101,19.058591098852922,-71.703545111501,19.05659109885292"), "wayback")</f>
        <v>wayback</v>
      </c>
      <c r="L389" s="2" t="s">
        <v>21</v>
      </c>
      <c r="M389" s="5"/>
      <c r="N389" s="5" t="s">
        <v>21</v>
      </c>
    </row>
    <row r="390" spans="1:14" x14ac:dyDescent="0.35">
      <c r="A390" s="2">
        <v>389</v>
      </c>
      <c r="B390" s="2" t="s">
        <v>428</v>
      </c>
      <c r="C390" s="2" t="s">
        <v>406</v>
      </c>
      <c r="D390" s="2">
        <v>2010</v>
      </c>
      <c r="E390" s="2" t="s">
        <v>10</v>
      </c>
      <c r="F390" s="2">
        <v>77</v>
      </c>
      <c r="G390" s="2">
        <v>18.293950664767511</v>
      </c>
      <c r="H390" s="2">
        <v>-70.332423585777647</v>
      </c>
      <c r="I390" s="3" t="str">
        <f>HYPERLINK(CONCATENATE("https://faluhong.users.earthengine.app/view/hispaniola-lc-validation#id=LC389;lat=18.293950664767515;lon=-70.33242358577765;year=2010;bf=40;level=18;"), "landsat_time_series")</f>
        <v>landsat_time_series</v>
      </c>
      <c r="J390" s="3" t="str">
        <f>HYPERLINK(CONCATENATE("https://jstnbraaten.users.earthengine.app/view/landsat-timeseries-explorer#run=true;lon=-70.33242358577765;lat=18.293950664767515;from=01-01;to=12-31;index=NBR;rgb=NIR%2FRED%2FGREEN;chipwidth=1;"), "landsat_chips")</f>
        <v>landsat_chips</v>
      </c>
      <c r="K390" s="3" t="str">
        <f>HYPERLINK(CONCATENATE("https://livingatlas.arcgis.com/wayback/#ext=-70.33342358577765,18.294950664767516,-70.33142358577764,18.292950664767513"), "wayback")</f>
        <v>wayback</v>
      </c>
      <c r="L390" s="2" t="s">
        <v>11</v>
      </c>
      <c r="M390" s="5" t="b">
        <v>1</v>
      </c>
      <c r="N390" s="5"/>
    </row>
    <row r="391" spans="1:14" x14ac:dyDescent="0.35">
      <c r="A391" s="2">
        <v>390</v>
      </c>
      <c r="B391" s="2" t="s">
        <v>428</v>
      </c>
      <c r="C391" s="2" t="s">
        <v>407</v>
      </c>
      <c r="D391" s="2">
        <v>2022</v>
      </c>
      <c r="E391" s="2" t="s">
        <v>10</v>
      </c>
      <c r="F391" s="2">
        <v>1133</v>
      </c>
      <c r="G391" s="2">
        <v>19.251582955185349</v>
      </c>
      <c r="H391" s="2">
        <v>-71.117198891175732</v>
      </c>
      <c r="I391" s="3" t="str">
        <f>HYPERLINK(CONCATENATE("https://faluhong.users.earthengine.app/view/hispaniola-lc-validation#id=LC390;lat=19.251582955185345;lon=-71.11719889117573;year=2022;bf=40;level=18;"), "landsat_time_series")</f>
        <v>landsat_time_series</v>
      </c>
      <c r="J391" s="3" t="str">
        <f>HYPERLINK(CONCATENATE("https://jstnbraaten.users.earthengine.app/view/landsat-timeseries-explorer#run=true;lon=-71.11719889117573;lat=19.251582955185345;from=01-01;to=12-31;index=NBR;rgb=NIR%2FRED%2FGREEN;chipwidth=1;"), "landsat_chips")</f>
        <v>landsat_chips</v>
      </c>
      <c r="K391" s="3" t="str">
        <f>HYPERLINK(CONCATENATE("https://livingatlas.arcgis.com/wayback/#ext=-71.11819889117574,19.252582955185346,-71.11619889117573,19.250582955185344"), "wayback")</f>
        <v>wayback</v>
      </c>
      <c r="L391" s="2" t="s">
        <v>38</v>
      </c>
      <c r="M391" s="5"/>
      <c r="N391" s="5" t="s">
        <v>38</v>
      </c>
    </row>
    <row r="392" spans="1:14" x14ac:dyDescent="0.35">
      <c r="A392" s="2">
        <v>391</v>
      </c>
      <c r="B392" s="2" t="s">
        <v>428</v>
      </c>
      <c r="C392" s="2" t="s">
        <v>408</v>
      </c>
      <c r="D392" s="2">
        <v>2016</v>
      </c>
      <c r="E392" s="2" t="s">
        <v>10</v>
      </c>
      <c r="F392" s="2">
        <v>1027</v>
      </c>
      <c r="G392" s="2">
        <v>18.64793437507549</v>
      </c>
      <c r="H392" s="2">
        <v>-70.8533074089856</v>
      </c>
      <c r="I392" s="3" t="str">
        <f>HYPERLINK(CONCATENATE("https://faluhong.users.earthengine.app/view/hispaniola-lc-validation#id=LC391;lat=18.64793437507549;lon=-70.8533074089856;year=2016;bf=40;level=18;"), "landsat_time_series")</f>
        <v>landsat_time_series</v>
      </c>
      <c r="J392" s="3" t="str">
        <f>HYPERLINK(CONCATENATE("https://jstnbraaten.users.earthengine.app/view/landsat-timeseries-explorer#run=true;lon=-70.8533074089856;lat=18.64793437507549;from=01-01;to=12-31;index=NBR;rgb=NIR%2FRED%2FGREEN;chipwidth=1;"), "landsat_chips")</f>
        <v>landsat_chips</v>
      </c>
      <c r="K392" s="3" t="str">
        <f>HYPERLINK(CONCATENATE("https://livingatlas.arcgis.com/wayback/#ext=-70.8543074089856,18.64893437507549,-70.8523074089856,18.64693437507549"), "wayback")</f>
        <v>wayback</v>
      </c>
      <c r="L392" s="2" t="s">
        <v>38</v>
      </c>
      <c r="M392" s="5"/>
      <c r="N392" s="5" t="s">
        <v>38</v>
      </c>
    </row>
    <row r="393" spans="1:14" x14ac:dyDescent="0.35">
      <c r="A393" s="2">
        <v>392</v>
      </c>
      <c r="B393" s="2" t="s">
        <v>428</v>
      </c>
      <c r="C393" s="2" t="s">
        <v>409</v>
      </c>
      <c r="D393" s="2">
        <v>2002</v>
      </c>
      <c r="E393" s="2" t="s">
        <v>10</v>
      </c>
      <c r="F393" s="2">
        <v>54</v>
      </c>
      <c r="G393" s="2">
        <v>18.55021665801295</v>
      </c>
      <c r="H393" s="2">
        <v>-69.12886721971752</v>
      </c>
      <c r="I393" s="3" t="str">
        <f>HYPERLINK(CONCATENATE("https://faluhong.users.earthengine.app/view/hispaniola-lc-validation#id=LC392;lat=18.55021665801295;lon=-69.12886721971752;year=2002;bf=40;level=18;"), "landsat_time_series")</f>
        <v>landsat_time_series</v>
      </c>
      <c r="J393" s="3" t="str">
        <f>HYPERLINK(CONCATENATE("https://jstnbraaten.users.earthengine.app/view/landsat-timeseries-explorer#run=true;lon=-69.12886721971752;lat=18.55021665801295;from=01-01;to=12-31;index=NBR;rgb=NIR%2FRED%2FGREEN;chipwidth=1;"), "landsat_chips")</f>
        <v>landsat_chips</v>
      </c>
      <c r="K393" s="3" t="str">
        <f>HYPERLINK(CONCATENATE("https://livingatlas.arcgis.com/wayback/#ext=-69.12986721971753,18.55121665801295,-69.12786721971752,18.54921665801295"), "wayback")</f>
        <v>wayback</v>
      </c>
      <c r="L393" s="2" t="s">
        <v>921</v>
      </c>
      <c r="M393" s="5"/>
      <c r="N393" s="5" t="s">
        <v>921</v>
      </c>
    </row>
    <row r="394" spans="1:14" x14ac:dyDescent="0.35">
      <c r="A394" s="2">
        <v>393</v>
      </c>
      <c r="B394" s="2" t="s">
        <v>428</v>
      </c>
      <c r="C394" s="2" t="s">
        <v>410</v>
      </c>
      <c r="D394" s="2">
        <v>2015</v>
      </c>
      <c r="E394" s="2" t="s">
        <v>10</v>
      </c>
      <c r="F394" s="2">
        <v>69</v>
      </c>
      <c r="G394" s="2">
        <v>17.660101612644439</v>
      </c>
      <c r="H394" s="2">
        <v>-71.431936322225368</v>
      </c>
      <c r="I394" s="3" t="str">
        <f>HYPERLINK(CONCATENATE("https://faluhong.users.earthengine.app/view/hispaniola-lc-validation#id=LC393;lat=17.66010161264444;lon=-71.43193632222537;year=2015;bf=40;level=18;"), "landsat_time_series")</f>
        <v>landsat_time_series</v>
      </c>
      <c r="J394" s="3" t="str">
        <f>HYPERLINK(CONCATENATE("https://jstnbraaten.users.earthengine.app/view/landsat-timeseries-explorer#run=true;lon=-71.43193632222537;lat=17.66010161264444;from=01-01;to=12-31;index=NBR;rgb=NIR%2FRED%2FGREEN;chipwidth=1;"), "landsat_chips")</f>
        <v>landsat_chips</v>
      </c>
      <c r="K394" s="3" t="str">
        <f>HYPERLINK(CONCATENATE("https://livingatlas.arcgis.com/wayback/#ext=-71.43293632222537,17.66110161264444,-71.43093632222536,17.659101612644438"), "wayback")</f>
        <v>wayback</v>
      </c>
      <c r="L394" s="2" t="s">
        <v>18</v>
      </c>
      <c r="M394" s="5"/>
      <c r="N394" s="5" t="s">
        <v>18</v>
      </c>
    </row>
    <row r="395" spans="1:14" x14ac:dyDescent="0.35">
      <c r="A395" s="2">
        <v>394</v>
      </c>
      <c r="B395" s="2" t="s">
        <v>428</v>
      </c>
      <c r="C395" s="2" t="s">
        <v>411</v>
      </c>
      <c r="D395" s="2">
        <v>1999</v>
      </c>
      <c r="E395" s="2" t="s">
        <v>20</v>
      </c>
      <c r="F395" s="2">
        <v>676</v>
      </c>
      <c r="G395" s="2">
        <v>19.664554310520661</v>
      </c>
      <c r="H395" s="2">
        <v>-72.797014619472733</v>
      </c>
      <c r="I395" s="3" t="str">
        <f>HYPERLINK(CONCATENATE("https://faluhong.users.earthengine.app/view/hispaniola-lc-validation#id=LC394;lat=19.664554310520664;lon=-72.79701461947273;year=1999;bf=40;level=18;"), "landsat_time_series")</f>
        <v>landsat_time_series</v>
      </c>
      <c r="J395" s="3" t="str">
        <f>HYPERLINK(CONCATENATE("https://jstnbraaten.users.earthengine.app/view/landsat-timeseries-explorer#run=true;lon=-72.79701461947273;lat=19.664554310520664;from=01-01;to=12-31;index=NBR;rgb=NIR%2FRED%2FGREEN;chipwidth=1;"), "landsat_chips")</f>
        <v>landsat_chips</v>
      </c>
      <c r="K395" s="3" t="str">
        <f>HYPERLINK(CONCATENATE("https://livingatlas.arcgis.com/wayback/#ext=-72.79801461947274,19.665554310520665,-72.79601461947273,19.663554310520663"), "wayback")</f>
        <v>wayback</v>
      </c>
      <c r="L395" s="2" t="s">
        <v>921</v>
      </c>
      <c r="M395" s="5"/>
      <c r="N395" s="5" t="s">
        <v>921</v>
      </c>
    </row>
    <row r="396" spans="1:14" x14ac:dyDescent="0.35">
      <c r="A396" s="2">
        <v>395</v>
      </c>
      <c r="B396" s="2" t="s">
        <v>428</v>
      </c>
      <c r="C396" s="2" t="s">
        <v>412</v>
      </c>
      <c r="D396" s="2">
        <v>1998</v>
      </c>
      <c r="E396" s="2" t="s">
        <v>10</v>
      </c>
      <c r="F396" s="2">
        <v>470</v>
      </c>
      <c r="G396" s="2">
        <v>19.74377728569436</v>
      </c>
      <c r="H396" s="2">
        <v>-71.140733011385947</v>
      </c>
      <c r="I396" s="3" t="str">
        <f>HYPERLINK(CONCATENATE("https://faluhong.users.earthengine.app/view/hispaniola-lc-validation#id=LC395;lat=19.74377728569436;lon=-71.14073301138595;year=1998;bf=40;level=18;"), "landsat_time_series")</f>
        <v>landsat_time_series</v>
      </c>
      <c r="J396" s="3" t="str">
        <f>HYPERLINK(CONCATENATE("https://jstnbraaten.users.earthengine.app/view/landsat-timeseries-explorer#run=true;lon=-71.14073301138595;lat=19.74377728569436;from=01-01;to=12-31;index=NBR;rgb=NIR%2FRED%2FGREEN;chipwidth=1;"), "landsat_chips")</f>
        <v>landsat_chips</v>
      </c>
      <c r="K396" s="3" t="str">
        <f>HYPERLINK(CONCATENATE("https://livingatlas.arcgis.com/wayback/#ext=-71.14173301138595,19.74477728569436,-71.13973301138594,19.74277728569436"), "wayback")</f>
        <v>wayback</v>
      </c>
      <c r="L396" s="2" t="s">
        <v>21</v>
      </c>
      <c r="M396" s="5"/>
      <c r="N396" s="5" t="s">
        <v>21</v>
      </c>
    </row>
    <row r="397" spans="1:14" x14ac:dyDescent="0.35">
      <c r="A397" s="2">
        <v>396</v>
      </c>
      <c r="B397" s="2" t="s">
        <v>428</v>
      </c>
      <c r="C397" s="2" t="s">
        <v>413</v>
      </c>
      <c r="D397" s="2">
        <v>2014</v>
      </c>
      <c r="E397" s="2" t="s">
        <v>10</v>
      </c>
      <c r="F397" s="2">
        <v>576</v>
      </c>
      <c r="G397" s="2">
        <v>19.351219355132031</v>
      </c>
      <c r="H397" s="2">
        <v>-71.2749902397846</v>
      </c>
      <c r="I397" s="3" t="str">
        <f>HYPERLINK(CONCATENATE("https://faluhong.users.earthengine.app/view/hispaniola-lc-validation#id=LC396;lat=19.35121935513203;lon=-71.2749902397846;year=2014;bf=40;level=18;"), "landsat_time_series")</f>
        <v>landsat_time_series</v>
      </c>
      <c r="J397" s="3" t="str">
        <f>HYPERLINK(CONCATENATE("https://jstnbraaten.users.earthengine.app/view/landsat-timeseries-explorer#run=true;lon=-71.2749902397846;lat=19.35121935513203;from=01-01;to=12-31;index=NBR;rgb=NIR%2FRED%2FGREEN;chipwidth=1;"), "landsat_chips")</f>
        <v>landsat_chips</v>
      </c>
      <c r="K397" s="3" t="str">
        <f>HYPERLINK(CONCATENATE("https://livingatlas.arcgis.com/wayback/#ext=-71.2759902397846,19.352219355132032,-71.2739902397846,19.35021935513203"), "wayback")</f>
        <v>wayback</v>
      </c>
      <c r="L397" s="2" t="s">
        <v>21</v>
      </c>
      <c r="M397" s="5"/>
      <c r="N397" s="5" t="s">
        <v>21</v>
      </c>
    </row>
    <row r="398" spans="1:14" x14ac:dyDescent="0.35">
      <c r="A398" s="2">
        <v>397</v>
      </c>
      <c r="B398" s="2" t="s">
        <v>428</v>
      </c>
      <c r="C398" s="2" t="s">
        <v>414</v>
      </c>
      <c r="D398" s="2">
        <v>2018</v>
      </c>
      <c r="E398" s="2" t="s">
        <v>10</v>
      </c>
      <c r="F398" s="2">
        <v>4</v>
      </c>
      <c r="G398" s="2">
        <v>19.6940427179232</v>
      </c>
      <c r="H398" s="2">
        <v>-71.653116301676192</v>
      </c>
      <c r="I398" s="3" t="str">
        <f>HYPERLINK(CONCATENATE("https://faluhong.users.earthengine.app/view/hispaniola-lc-validation#id=LC397;lat=19.694042717923203;lon=-71.65311630167619;year=2018;bf=40;level=18;"), "landsat_time_series")</f>
        <v>landsat_time_series</v>
      </c>
      <c r="J398" s="3" t="str">
        <f>HYPERLINK(CONCATENATE("https://jstnbraaten.users.earthengine.app/view/landsat-timeseries-explorer#run=true;lon=-71.65311630167619;lat=19.694042717923203;from=01-01;to=12-31;index=NBR;rgb=NIR%2FRED%2FGREEN;chipwidth=1;"), "landsat_chips")</f>
        <v>landsat_chips</v>
      </c>
      <c r="K398" s="3" t="str">
        <f>HYPERLINK(CONCATENATE("https://livingatlas.arcgis.com/wayback/#ext=-71.6541163016762,19.695042717923204,-71.65211630167619,19.693042717923202"), "wayback")</f>
        <v>wayback</v>
      </c>
      <c r="L398" s="2" t="s">
        <v>921</v>
      </c>
      <c r="M398" s="5"/>
      <c r="N398" s="5" t="s">
        <v>921</v>
      </c>
    </row>
    <row r="399" spans="1:14" x14ac:dyDescent="0.35">
      <c r="A399" s="2">
        <v>398</v>
      </c>
      <c r="B399" s="2" t="s">
        <v>428</v>
      </c>
      <c r="C399" s="2" t="s">
        <v>415</v>
      </c>
      <c r="D399" s="2">
        <v>2013</v>
      </c>
      <c r="E399" s="2" t="s">
        <v>10</v>
      </c>
      <c r="F399" s="2">
        <v>400</v>
      </c>
      <c r="G399" s="2">
        <v>18.723894176007811</v>
      </c>
      <c r="H399" s="2">
        <v>-71.043824017050696</v>
      </c>
      <c r="I399" s="3" t="str">
        <f>HYPERLINK(CONCATENATE("https://faluhong.users.earthengine.app/view/hispaniola-lc-validation#id=LC398;lat=18.723894176007807;lon=-71.0438240170507;year=2013;bf=40;level=18;"), "landsat_time_series")</f>
        <v>landsat_time_series</v>
      </c>
      <c r="J399" s="3" t="str">
        <f>HYPERLINK(CONCATENATE("https://jstnbraaten.users.earthengine.app/view/landsat-timeseries-explorer#run=true;lon=-71.0438240170507;lat=18.723894176007807;from=01-01;to=12-31;index=NBR;rgb=NIR%2FRED%2FGREEN;chipwidth=1;"), "landsat_chips")</f>
        <v>landsat_chips</v>
      </c>
      <c r="K399" s="3" t="str">
        <f>HYPERLINK(CONCATENATE("https://livingatlas.arcgis.com/wayback/#ext=-71.0448240170507,18.72489417600781,-71.04282401705069,18.722894176007806"), "wayback")</f>
        <v>wayback</v>
      </c>
      <c r="L399" s="2" t="s">
        <v>921</v>
      </c>
      <c r="M399" s="5"/>
      <c r="N399" s="5" t="s">
        <v>21</v>
      </c>
    </row>
    <row r="400" spans="1:14" x14ac:dyDescent="0.35">
      <c r="A400" s="2">
        <v>399</v>
      </c>
      <c r="B400" s="2" t="s">
        <v>428</v>
      </c>
      <c r="C400" s="2" t="s">
        <v>416</v>
      </c>
      <c r="D400" s="2">
        <v>2018</v>
      </c>
      <c r="E400" s="2" t="s">
        <v>10</v>
      </c>
      <c r="F400" s="2">
        <v>7</v>
      </c>
      <c r="G400" s="2">
        <v>18.41356849070176</v>
      </c>
      <c r="H400" s="2">
        <v>-69.146968437014038</v>
      </c>
      <c r="I400" s="3" t="str">
        <f>HYPERLINK(CONCATENATE("https://faluhong.users.earthengine.app/view/hispaniola-lc-validation#id=LC399;lat=18.413568490701756;lon=-69.14696843701404;year=2018;bf=40;level=18;"), "landsat_time_series")</f>
        <v>landsat_time_series</v>
      </c>
      <c r="J400" s="3" t="str">
        <f>HYPERLINK(CONCATENATE("https://jstnbraaten.users.earthengine.app/view/landsat-timeseries-explorer#run=true;lon=-69.14696843701404;lat=18.413568490701756;from=01-01;to=12-31;index=NBR;rgb=NIR%2FRED%2FGREEN;chipwidth=1;"), "landsat_chips")</f>
        <v>landsat_chips</v>
      </c>
      <c r="K400" s="3" t="str">
        <f>HYPERLINK(CONCATENATE("https://livingatlas.arcgis.com/wayback/#ext=-69.14796843701404,18.414568490701757,-69.14596843701403,18.412568490701755"), "wayback")</f>
        <v>wayback</v>
      </c>
      <c r="L400" s="2" t="s">
        <v>18</v>
      </c>
      <c r="M400" s="5"/>
      <c r="N400" s="5" t="s">
        <v>21</v>
      </c>
    </row>
    <row r="401" spans="1:14" x14ac:dyDescent="0.35">
      <c r="A401" s="2">
        <v>400</v>
      </c>
      <c r="B401" s="2" t="s">
        <v>428</v>
      </c>
      <c r="C401" s="2" t="s">
        <v>417</v>
      </c>
      <c r="D401" s="2">
        <v>2003</v>
      </c>
      <c r="E401" s="2" t="s">
        <v>10</v>
      </c>
      <c r="F401" s="2">
        <v>1231</v>
      </c>
      <c r="G401" s="2">
        <v>18.003769398439069</v>
      </c>
      <c r="H401" s="2">
        <v>-71.238475969962977</v>
      </c>
      <c r="I401" s="3" t="str">
        <f>HYPERLINK(CONCATENATE("https://faluhong.users.earthengine.app/view/hispaniola-lc-validation#id=LC400;lat=18.003769398439072;lon=-71.23847596996298;year=2003;bf=40;level=18;"), "landsat_time_series")</f>
        <v>landsat_time_series</v>
      </c>
      <c r="J401" s="3" t="str">
        <f>HYPERLINK(CONCATENATE("https://jstnbraaten.users.earthengine.app/view/landsat-timeseries-explorer#run=true;lon=-71.23847596996298;lat=18.003769398439072;from=01-01;to=12-31;index=NBR;rgb=NIR%2FRED%2FGREEN;chipwidth=1;"), "landsat_chips")</f>
        <v>landsat_chips</v>
      </c>
      <c r="K401" s="3" t="str">
        <f>HYPERLINK(CONCATENATE("https://livingatlas.arcgis.com/wayback/#ext=-71.23947596996298,18.004769398439073,-71.23747596996297,18.00276939843907"), "wayback")</f>
        <v>wayback</v>
      </c>
      <c r="L401" s="2" t="s">
        <v>38</v>
      </c>
      <c r="M401" s="5"/>
      <c r="N401" s="5" t="s">
        <v>38</v>
      </c>
    </row>
  </sheetData>
  <autoFilter ref="A1:N401" xr:uid="{00000000-0001-0000-0000-000000000000}">
    <sortState xmlns:xlrd2="http://schemas.microsoft.com/office/spreadsheetml/2017/richdata2" ref="A2:N401">
      <sortCondition ref="A1:A401"/>
    </sortState>
  </autoFilter>
  <dataValidations count="1">
    <dataValidation type="list" allowBlank="1" showInputMessage="1" showErrorMessage="1" sqref="N92:N191 N292:N401" xr:uid="{4DD82762-9951-4B15-909F-E50BD3332367}">
      <formula1>#REF!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03589-D8D5-4D15-8D5F-704708B108CC}">
  <dimension ref="A1:N487"/>
  <sheetViews>
    <sheetView tabSelected="1" workbookViewId="0">
      <pane ySplit="1" topLeftCell="A22" activePane="bottomLeft" state="frozen"/>
      <selection pane="bottomLeft" activeCell="Q18" sqref="Q18"/>
    </sheetView>
  </sheetViews>
  <sheetFormatPr defaultColWidth="9.26953125" defaultRowHeight="14.5" x14ac:dyDescent="0.35"/>
  <cols>
    <col min="1" max="1" width="5.453125" style="2" bestFit="1" customWidth="1"/>
    <col min="2" max="2" width="10" style="2" bestFit="1" customWidth="1"/>
    <col min="3" max="3" width="9.26953125" style="2" bestFit="1" customWidth="1"/>
    <col min="4" max="4" width="11.08984375" style="2" bestFit="1" customWidth="1"/>
    <col min="5" max="5" width="8.54296875" style="2" bestFit="1" customWidth="1"/>
    <col min="6" max="6" width="11.81640625" style="2" bestFit="1" customWidth="1"/>
    <col min="7" max="7" width="12.453125" style="2" bestFit="1" customWidth="1"/>
    <col min="8" max="8" width="21.54296875" style="2" bestFit="1" customWidth="1"/>
    <col min="9" max="9" width="16.1796875" style="2" bestFit="1" customWidth="1"/>
    <col min="10" max="10" width="12" style="2" bestFit="1" customWidth="1"/>
    <col min="11" max="11" width="10.26953125" style="2" bestFit="1" customWidth="1"/>
    <col min="12" max="12" width="15.90625" style="2" bestFit="1" customWidth="1"/>
    <col min="13" max="13" width="12.90625" style="2" bestFit="1" customWidth="1"/>
    <col min="14" max="14" width="17.26953125" style="2" bestFit="1" customWidth="1"/>
    <col min="15" max="16384" width="9.26953125" style="2"/>
  </cols>
  <sheetData>
    <row r="1" spans="1:14" x14ac:dyDescent="0.35">
      <c r="A1" s="1" t="s">
        <v>430</v>
      </c>
      <c r="B1" s="1" t="s">
        <v>423</v>
      </c>
      <c r="C1" s="1" t="s">
        <v>0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7" t="s">
        <v>429</v>
      </c>
      <c r="L1" s="4" t="s">
        <v>431</v>
      </c>
      <c r="M1" s="4" t="s">
        <v>919</v>
      </c>
      <c r="N1" s="4" t="s">
        <v>920</v>
      </c>
    </row>
    <row r="2" spans="1:14" x14ac:dyDescent="0.35">
      <c r="A2" s="2">
        <v>1</v>
      </c>
      <c r="B2" s="2" t="s">
        <v>424</v>
      </c>
      <c r="C2" s="2" t="s">
        <v>433</v>
      </c>
      <c r="D2" s="2" t="s">
        <v>10</v>
      </c>
      <c r="E2" s="2">
        <v>676</v>
      </c>
      <c r="F2" s="2">
        <v>18.151357037560128</v>
      </c>
      <c r="G2" s="2">
        <v>-71.117072132828739</v>
      </c>
      <c r="H2" s="8" t="str">
        <f>HYPERLINK(CONCATENATE("https://faluhong.users.earthengine.app/view/hispaniola-lc-validation#id=PF1;lat=18.15135703756013;lon=-71.11707213282874;year=2000;bf=40;level=18;"), "landsat_time_series")</f>
        <v>landsat_time_series</v>
      </c>
      <c r="I2" s="8" t="str">
        <f>HYPERLINK(CONCATENATE("https://jstnbraaten.users.earthengine.app/view/landsat-timeseries-explorer#run=true;lon=-71.11707213282874;lat=18.15135703756013;from=01-01;to=12-31;index=NBR;rgb=NIR%2FRED%2FGREEN;chipwidth=1;"), "landsat_chips")</f>
        <v>landsat_chips</v>
      </c>
      <c r="J2" s="8" t="str">
        <f>HYPERLINK(CONCATENATE("https://livingatlas.arcgis.com/wayback/#ext=-71.11807213282874,18.15235703756013,-71.11607213282873,18.150357037560127"), "wayback")</f>
        <v>wayback</v>
      </c>
      <c r="K2" s="2" t="s">
        <v>422</v>
      </c>
      <c r="L2" s="5"/>
      <c r="M2" s="5" t="s">
        <v>422</v>
      </c>
      <c r="N2" s="5"/>
    </row>
    <row r="3" spans="1:14" x14ac:dyDescent="0.35">
      <c r="A3" s="2">
        <v>2</v>
      </c>
      <c r="B3" s="2" t="s">
        <v>424</v>
      </c>
      <c r="C3" s="2" t="s">
        <v>434</v>
      </c>
      <c r="D3" s="2" t="s">
        <v>10</v>
      </c>
      <c r="E3" s="2">
        <v>2045</v>
      </c>
      <c r="F3" s="2">
        <v>19.060868564394092</v>
      </c>
      <c r="G3" s="2">
        <v>-71.203580485905832</v>
      </c>
      <c r="H3" s="8" t="str">
        <f>HYPERLINK(CONCATENATE("https://faluhong.users.earthengine.app/view/hispaniola-lc-validation#id=PF2;lat=19.060868564394088;lon=-71.20358048590583;year=2000;bf=40;level=18;"), "landsat_time_series")</f>
        <v>landsat_time_series</v>
      </c>
      <c r="I3" s="8" t="str">
        <f>HYPERLINK(CONCATENATE("https://jstnbraaten.users.earthengine.app/view/landsat-timeseries-explorer#run=true;lon=-71.20358048590583;lat=19.060868564394088;from=01-01;to=12-31;index=NBR;rgb=NIR%2FRED%2FGREEN;chipwidth=1;"), "landsat_chips")</f>
        <v>landsat_chips</v>
      </c>
      <c r="J3" s="8" t="str">
        <f>HYPERLINK(CONCATENATE("https://livingatlas.arcgis.com/wayback/#ext=-71.20458048590584,19.06186856439409,-71.20258048590583,19.059868564394087"), "wayback")</f>
        <v>wayback</v>
      </c>
      <c r="K3" s="2" t="s">
        <v>418</v>
      </c>
      <c r="L3" s="5"/>
      <c r="M3" s="5" t="s">
        <v>422</v>
      </c>
      <c r="N3" s="5"/>
    </row>
    <row r="4" spans="1:14" x14ac:dyDescent="0.35">
      <c r="A4" s="2">
        <v>3</v>
      </c>
      <c r="B4" s="2" t="s">
        <v>424</v>
      </c>
      <c r="C4" s="2" t="s">
        <v>435</v>
      </c>
      <c r="D4" s="2" t="s">
        <v>10</v>
      </c>
      <c r="E4" s="2">
        <v>104</v>
      </c>
      <c r="F4" s="2">
        <v>17.782463949711659</v>
      </c>
      <c r="G4" s="2">
        <v>-71.448007963659606</v>
      </c>
      <c r="H4" s="8" t="str">
        <f>HYPERLINK(CONCATENATE("https://faluhong.users.earthengine.app/view/hispaniola-lc-validation#id=PF3;lat=17.78246394971166;lon=-71.4480079636596;year=2000;bf=40;level=18;"), "landsat_time_series")</f>
        <v>landsat_time_series</v>
      </c>
      <c r="I4" s="8" t="str">
        <f>HYPERLINK(CONCATENATE("https://jstnbraaten.users.earthengine.app/view/landsat-timeseries-explorer#run=true;lon=-71.4480079636596;lat=17.78246394971166;from=01-01;to=12-31;index=NBR;rgb=NIR%2FRED%2FGREEN;chipwidth=1;"), "landsat_chips")</f>
        <v>landsat_chips</v>
      </c>
      <c r="J4" s="8" t="str">
        <f>HYPERLINK(CONCATENATE("https://livingatlas.arcgis.com/wayback/#ext=-71.44900796365961,17.78346394971166,-71.4470079636596,17.781463949711657"), "wayback")</f>
        <v>wayback</v>
      </c>
      <c r="K4" s="2" t="s">
        <v>418</v>
      </c>
      <c r="L4" s="5"/>
      <c r="M4" s="5" t="s">
        <v>422</v>
      </c>
      <c r="N4" s="5"/>
    </row>
    <row r="5" spans="1:14" x14ac:dyDescent="0.35">
      <c r="A5" s="2">
        <v>4</v>
      </c>
      <c r="B5" s="2" t="s">
        <v>424</v>
      </c>
      <c r="C5" s="2" t="s">
        <v>436</v>
      </c>
      <c r="D5" s="2" t="s">
        <v>10</v>
      </c>
      <c r="E5" s="2">
        <v>289</v>
      </c>
      <c r="F5" s="2">
        <v>18.91820351311932</v>
      </c>
      <c r="G5" s="2">
        <v>-69.451842402764413</v>
      </c>
      <c r="H5" s="8" t="str">
        <f>HYPERLINK(CONCATENATE("https://faluhong.users.earthengine.app/view/hispaniola-lc-validation#id=PF4;lat=18.918203513119316;lon=-69.45184240276441;year=2000;bf=40;level=18;"), "landsat_time_series")</f>
        <v>landsat_time_series</v>
      </c>
      <c r="I5" s="8" t="str">
        <f>HYPERLINK(CONCATENATE("https://jstnbraaten.users.earthengine.app/view/landsat-timeseries-explorer#run=true;lon=-69.45184240276441;lat=18.918203513119316;from=01-01;to=12-31;index=NBR;rgb=NIR%2FRED%2FGREEN;chipwidth=1;"), "landsat_chips")</f>
        <v>landsat_chips</v>
      </c>
      <c r="J5" s="8" t="str">
        <f>HYPERLINK(CONCATENATE("https://livingatlas.arcgis.com/wayback/#ext=-69.45284240276442,18.919203513119317,-69.45084240276441,18.917203513119315"), "wayback")</f>
        <v>wayback</v>
      </c>
      <c r="K5" s="2" t="s">
        <v>422</v>
      </c>
      <c r="L5" s="5"/>
      <c r="M5" s="5" t="s">
        <v>422</v>
      </c>
      <c r="N5" s="5"/>
    </row>
    <row r="6" spans="1:14" x14ac:dyDescent="0.35">
      <c r="A6" s="2">
        <v>5</v>
      </c>
      <c r="B6" s="2" t="s">
        <v>424</v>
      </c>
      <c r="C6" s="2" t="s">
        <v>437</v>
      </c>
      <c r="D6" s="2" t="s">
        <v>10</v>
      </c>
      <c r="E6" s="2">
        <v>1228</v>
      </c>
      <c r="F6" s="2">
        <v>18.56640901685299</v>
      </c>
      <c r="G6" s="2">
        <v>-70.711314764313286</v>
      </c>
      <c r="H6" s="8" t="str">
        <f>HYPERLINK(CONCATENATE("https://faluhong.users.earthengine.app/view/hispaniola-lc-validation#id=PF5;lat=18.566409016852987;lon=-70.71131476431329;year=2000;bf=40;level=18;"), "landsat_time_series")</f>
        <v>landsat_time_series</v>
      </c>
      <c r="I6" s="8" t="str">
        <f>HYPERLINK(CONCATENATE("https://jstnbraaten.users.earthengine.app/view/landsat-timeseries-explorer#run=true;lon=-70.71131476431329;lat=18.566409016852987;from=01-01;to=12-31;index=NBR;rgb=NIR%2FRED%2FGREEN;chipwidth=1;"), "landsat_chips")</f>
        <v>landsat_chips</v>
      </c>
      <c r="J6" s="8" t="str">
        <f>HYPERLINK(CONCATENATE("https://livingatlas.arcgis.com/wayback/#ext=-70.71231476431329,18.567409016852988,-70.71031476431328,18.565409016852986"), "wayback")</f>
        <v>wayback</v>
      </c>
      <c r="K6" s="2" t="s">
        <v>422</v>
      </c>
      <c r="L6" s="5" t="b">
        <v>1</v>
      </c>
      <c r="M6" s="5" t="s">
        <v>418</v>
      </c>
      <c r="N6" s="5" t="s">
        <v>922</v>
      </c>
    </row>
    <row r="7" spans="1:14" x14ac:dyDescent="0.35">
      <c r="A7" s="2">
        <v>6</v>
      </c>
      <c r="B7" s="2" t="s">
        <v>424</v>
      </c>
      <c r="C7" s="2" t="s">
        <v>438</v>
      </c>
      <c r="D7" s="2" t="s">
        <v>20</v>
      </c>
      <c r="E7" s="2">
        <v>2088</v>
      </c>
      <c r="F7" s="2">
        <v>18.350522565480141</v>
      </c>
      <c r="G7" s="2">
        <v>-72.276905401493977</v>
      </c>
      <c r="H7" s="8" t="str">
        <f>HYPERLINK(CONCATENATE("https://faluhong.users.earthengine.app/view/hispaniola-lc-validation#id=PF6;lat=18.350522565480137;lon=-72.27690540149398;year=2000;bf=40;level=18;"), "landsat_time_series")</f>
        <v>landsat_time_series</v>
      </c>
      <c r="I7" s="8" t="str">
        <f>HYPERLINK(CONCATENATE("https://jstnbraaten.users.earthengine.app/view/landsat-timeseries-explorer#run=true;lon=-72.27690540149398;lat=18.350522565480137;from=01-01;to=12-31;index=NBR;rgb=NIR%2FRED%2FGREEN;chipwidth=1;"), "landsat_chips")</f>
        <v>landsat_chips</v>
      </c>
      <c r="J7" s="8" t="str">
        <f>HYPERLINK(CONCATENATE("https://livingatlas.arcgis.com/wayback/#ext=-72.27790540149398,18.35152256548014,-72.27590540149397,18.349522565480136"), "wayback")</f>
        <v>wayback</v>
      </c>
      <c r="K7" s="2" t="s">
        <v>418</v>
      </c>
      <c r="L7" s="5"/>
      <c r="M7" s="5" t="s">
        <v>422</v>
      </c>
      <c r="N7" s="5"/>
    </row>
    <row r="8" spans="1:14" x14ac:dyDescent="0.35">
      <c r="A8" s="2">
        <v>7</v>
      </c>
      <c r="B8" s="2" t="s">
        <v>424</v>
      </c>
      <c r="C8" s="2" t="s">
        <v>439</v>
      </c>
      <c r="D8" s="2" t="s">
        <v>20</v>
      </c>
      <c r="E8" s="2">
        <v>187</v>
      </c>
      <c r="F8" s="2">
        <v>19.780707202196862</v>
      </c>
      <c r="G8" s="2">
        <v>-73.428525568417243</v>
      </c>
      <c r="H8" s="8" t="str">
        <f>HYPERLINK(CONCATENATE("https://faluhong.users.earthengine.app/view/hispaniola-lc-validation#id=PF7;lat=19.78070720219686;lon=-73.42852556841724;year=2000;bf=40;level=18;"), "landsat_time_series")</f>
        <v>landsat_time_series</v>
      </c>
      <c r="I8" s="8" t="str">
        <f>HYPERLINK(CONCATENATE("https://jstnbraaten.users.earthengine.app/view/landsat-timeseries-explorer#run=true;lon=-73.42852556841724;lat=19.78070720219686;from=01-01;to=12-31;index=NBR;rgb=NIR%2FRED%2FGREEN;chipwidth=1;"), "landsat_chips")</f>
        <v>landsat_chips</v>
      </c>
      <c r="J8" s="8" t="str">
        <f>HYPERLINK(CONCATENATE("https://livingatlas.arcgis.com/wayback/#ext=-73.42952556841725,19.781707202196863,-73.42752556841724,19.77970720219686"), "wayback")</f>
        <v>wayback</v>
      </c>
      <c r="K8" s="2" t="s">
        <v>422</v>
      </c>
      <c r="L8" s="5"/>
      <c r="M8" s="5" t="s">
        <v>422</v>
      </c>
      <c r="N8" s="5"/>
    </row>
    <row r="9" spans="1:14" x14ac:dyDescent="0.35">
      <c r="A9" s="2">
        <v>8</v>
      </c>
      <c r="B9" s="2" t="s">
        <v>424</v>
      </c>
      <c r="C9" s="2" t="s">
        <v>440</v>
      </c>
      <c r="D9" s="2" t="s">
        <v>10</v>
      </c>
      <c r="E9" s="2">
        <v>1725</v>
      </c>
      <c r="F9" s="2">
        <v>19.021340720069411</v>
      </c>
      <c r="G9" s="2">
        <v>-71.142707132789837</v>
      </c>
      <c r="H9" s="8" t="str">
        <f>HYPERLINK(CONCATENATE("https://faluhong.users.earthengine.app/view/hispaniola-lc-validation#id=PF8;lat=19.021340720069407;lon=-71.14270713278984;year=2000;bf=40;level=18;"), "landsat_time_series")</f>
        <v>landsat_time_series</v>
      </c>
      <c r="I9" s="8" t="str">
        <f>HYPERLINK(CONCATENATE("https://jstnbraaten.users.earthengine.app/view/landsat-timeseries-explorer#run=true;lon=-71.14270713278984;lat=19.021340720069407;from=01-01;to=12-31;index=NBR;rgb=NIR%2FRED%2FGREEN;chipwidth=1;"), "landsat_chips")</f>
        <v>landsat_chips</v>
      </c>
      <c r="J9" s="8" t="str">
        <f>HYPERLINK(CONCATENATE("https://livingatlas.arcgis.com/wayback/#ext=-71.14370713278984,19.02234072006941,-71.14170713278983,19.020340720069406"), "wayback")</f>
        <v>wayback</v>
      </c>
      <c r="K9" s="2" t="s">
        <v>418</v>
      </c>
      <c r="L9" s="5"/>
      <c r="M9" s="5" t="s">
        <v>418</v>
      </c>
      <c r="N9" s="5" t="s">
        <v>419</v>
      </c>
    </row>
    <row r="10" spans="1:14" x14ac:dyDescent="0.35">
      <c r="A10" s="2">
        <v>9</v>
      </c>
      <c r="B10" s="2" t="s">
        <v>424</v>
      </c>
      <c r="C10" s="2" t="s">
        <v>441</v>
      </c>
      <c r="D10" s="2" t="s">
        <v>10</v>
      </c>
      <c r="E10" s="2">
        <v>599</v>
      </c>
      <c r="F10" s="2">
        <v>19.318284470226502</v>
      </c>
      <c r="G10" s="2">
        <v>-71.707363179547755</v>
      </c>
      <c r="H10" s="8" t="str">
        <f>HYPERLINK(CONCATENATE("https://faluhong.users.earthengine.app/view/hispaniola-lc-validation#id=PF9;lat=19.3182844702265;lon=-71.70736317954776;year=2000;bf=40;level=18;"), "landsat_time_series")</f>
        <v>landsat_time_series</v>
      </c>
      <c r="I10" s="8" t="str">
        <f>HYPERLINK(CONCATENATE("https://jstnbraaten.users.earthengine.app/view/landsat-timeseries-explorer#run=true;lon=-71.70736317954776;lat=19.3182844702265;from=01-01;to=12-31;index=NBR;rgb=NIR%2FRED%2FGREEN;chipwidth=1;"), "landsat_chips")</f>
        <v>landsat_chips</v>
      </c>
      <c r="J10" s="8" t="str">
        <f>HYPERLINK(CONCATENATE("https://livingatlas.arcgis.com/wayback/#ext=-71.70836317954776,19.319284470226503,-71.70636317954775,19.3172844702265"), "wayback")</f>
        <v>wayback</v>
      </c>
      <c r="K10" s="2" t="s">
        <v>422</v>
      </c>
      <c r="L10" s="5"/>
      <c r="M10" s="5" t="s">
        <v>422</v>
      </c>
      <c r="N10" s="5"/>
    </row>
    <row r="11" spans="1:14" x14ac:dyDescent="0.35">
      <c r="A11" s="2">
        <v>10</v>
      </c>
      <c r="B11" s="2" t="s">
        <v>424</v>
      </c>
      <c r="C11" s="2" t="s">
        <v>442</v>
      </c>
      <c r="D11" s="2" t="s">
        <v>10</v>
      </c>
      <c r="E11" s="2">
        <v>1874</v>
      </c>
      <c r="F11" s="2">
        <v>18.24388585766798</v>
      </c>
      <c r="G11" s="2">
        <v>-71.688213420533259</v>
      </c>
      <c r="H11" s="8" t="str">
        <f>HYPERLINK(CONCATENATE("https://faluhong.users.earthengine.app/view/hispaniola-lc-validation#id=PF10;lat=18.243885857667983;lon=-71.68821342053326;year=2000;bf=40;level=18;"), "landsat_time_series")</f>
        <v>landsat_time_series</v>
      </c>
      <c r="I11" s="8" t="str">
        <f>HYPERLINK(CONCATENATE("https://jstnbraaten.users.earthengine.app/view/landsat-timeseries-explorer#run=true;lon=-71.68821342053326;lat=18.243885857667983;from=01-01;to=12-31;index=NBR;rgb=NIR%2FRED%2FGREEN;chipwidth=1;"), "landsat_chips")</f>
        <v>landsat_chips</v>
      </c>
      <c r="J11" s="8" t="str">
        <f>HYPERLINK(CONCATENATE("https://livingatlas.arcgis.com/wayback/#ext=-71.68921342053326,18.244885857667985,-71.68721342053325,18.242885857667982"), "wayback")</f>
        <v>wayback</v>
      </c>
      <c r="K11" s="2" t="s">
        <v>418</v>
      </c>
      <c r="L11" s="5"/>
      <c r="M11" s="5" t="s">
        <v>418</v>
      </c>
      <c r="N11" s="5" t="s">
        <v>419</v>
      </c>
    </row>
    <row r="12" spans="1:14" x14ac:dyDescent="0.35">
      <c r="A12" s="2">
        <v>11</v>
      </c>
      <c r="B12" s="2" t="s">
        <v>424</v>
      </c>
      <c r="C12" s="2" t="s">
        <v>443</v>
      </c>
      <c r="D12" s="2" t="s">
        <v>10</v>
      </c>
      <c r="E12" s="2">
        <v>374</v>
      </c>
      <c r="F12" s="2">
        <v>18.845324051486571</v>
      </c>
      <c r="G12" s="2">
        <v>-68.827734149701314</v>
      </c>
      <c r="H12" s="8" t="str">
        <f>HYPERLINK(CONCATENATE("https://faluhong.users.earthengine.app/view/hispaniola-lc-validation#id=PF11;lat=18.845324051486575;lon=-68.82773414970131;year=2000;bf=40;level=18;"), "landsat_time_series")</f>
        <v>landsat_time_series</v>
      </c>
      <c r="I12" s="8" t="str">
        <f>HYPERLINK(CONCATENATE("https://jstnbraaten.users.earthengine.app/view/landsat-timeseries-explorer#run=true;lon=-68.82773414970131;lat=18.845324051486575;from=01-01;to=12-31;index=NBR;rgb=NIR%2FRED%2FGREEN;chipwidth=1;"), "landsat_chips")</f>
        <v>landsat_chips</v>
      </c>
      <c r="J12" s="8" t="str">
        <f>HYPERLINK(CONCATENATE("https://livingatlas.arcgis.com/wayback/#ext=-68.82873414970132,18.846324051486576,-68.82673414970131,18.844324051486574"), "wayback")</f>
        <v>wayback</v>
      </c>
      <c r="K12" s="2" t="s">
        <v>422</v>
      </c>
      <c r="L12" s="5"/>
      <c r="M12" s="5" t="s">
        <v>422</v>
      </c>
      <c r="N12" s="5"/>
    </row>
    <row r="13" spans="1:14" x14ac:dyDescent="0.35">
      <c r="A13" s="2">
        <v>12</v>
      </c>
      <c r="B13" s="2" t="s">
        <v>424</v>
      </c>
      <c r="C13" s="2" t="s">
        <v>444</v>
      </c>
      <c r="D13" s="2" t="s">
        <v>10</v>
      </c>
      <c r="E13" s="2">
        <v>43</v>
      </c>
      <c r="F13" s="2">
        <v>18.719202750126939</v>
      </c>
      <c r="G13" s="2">
        <v>-69.674536506008067</v>
      </c>
      <c r="H13" s="8" t="str">
        <f>HYPERLINK(CONCATENATE("https://faluhong.users.earthengine.app/view/hispaniola-lc-validation#id=PF12;lat=18.71920275012694;lon=-69.67453650600807;year=2000;bf=40;level=18;"), "landsat_time_series")</f>
        <v>landsat_time_series</v>
      </c>
      <c r="I13" s="8" t="str">
        <f>HYPERLINK(CONCATENATE("https://jstnbraaten.users.earthengine.app/view/landsat-timeseries-explorer#run=true;lon=-69.67453650600807;lat=18.71920275012694;from=01-01;to=12-31;index=NBR;rgb=NIR%2FRED%2FGREEN;chipwidth=1;"), "landsat_chips")</f>
        <v>landsat_chips</v>
      </c>
      <c r="J13" s="8" t="str">
        <f>HYPERLINK(CONCATENATE("https://livingatlas.arcgis.com/wayback/#ext=-69.67553650600807,18.72020275012694,-69.67353650600806,18.718202750126938"), "wayback")</f>
        <v>wayback</v>
      </c>
      <c r="K13" s="2" t="s">
        <v>422</v>
      </c>
      <c r="L13" s="5"/>
      <c r="M13" s="5" t="s">
        <v>422</v>
      </c>
      <c r="N13" s="5"/>
    </row>
    <row r="14" spans="1:14" x14ac:dyDescent="0.35">
      <c r="A14" s="2">
        <v>13</v>
      </c>
      <c r="B14" s="2" t="s">
        <v>424</v>
      </c>
      <c r="C14" s="2" t="s">
        <v>445</v>
      </c>
      <c r="D14" s="2" t="s">
        <v>20</v>
      </c>
      <c r="E14" s="2">
        <v>562</v>
      </c>
      <c r="F14" s="2">
        <v>19.43298563677768</v>
      </c>
      <c r="G14" s="2">
        <v>-72.375731328512671</v>
      </c>
      <c r="H14" s="8" t="str">
        <f>HYPERLINK(CONCATENATE("https://faluhong.users.earthengine.app/view/hispaniola-lc-validation#id=PF13;lat=19.43298563677768;lon=-72.37573132851267;year=2000;bf=40;level=18;"), "landsat_time_series")</f>
        <v>landsat_time_series</v>
      </c>
      <c r="I14" s="8" t="str">
        <f>HYPERLINK(CONCATENATE("https://jstnbraaten.users.earthengine.app/view/landsat-timeseries-explorer#run=true;lon=-72.37573132851267;lat=19.43298563677768;from=01-01;to=12-31;index=NBR;rgb=NIR%2FRED%2FGREEN;chipwidth=1;"), "landsat_chips")</f>
        <v>landsat_chips</v>
      </c>
      <c r="J14" s="8" t="str">
        <f>HYPERLINK(CONCATENATE("https://livingatlas.arcgis.com/wayback/#ext=-72.37673132851268,19.43398563677768,-72.37473132851267,19.43198563677768"), "wayback")</f>
        <v>wayback</v>
      </c>
      <c r="K14" s="2" t="s">
        <v>422</v>
      </c>
      <c r="L14" s="5"/>
      <c r="M14" s="5" t="s">
        <v>422</v>
      </c>
      <c r="N14" s="5"/>
    </row>
    <row r="15" spans="1:14" x14ac:dyDescent="0.35">
      <c r="A15" s="2">
        <v>14</v>
      </c>
      <c r="B15" s="2" t="s">
        <v>424</v>
      </c>
      <c r="C15" s="2" t="s">
        <v>446</v>
      </c>
      <c r="D15" s="2" t="s">
        <v>10</v>
      </c>
      <c r="E15" s="2">
        <v>1335</v>
      </c>
      <c r="F15" s="2">
        <v>18.91855587404056</v>
      </c>
      <c r="G15" s="2">
        <v>-70.680353658396271</v>
      </c>
      <c r="H15" s="8" t="str">
        <f>HYPERLINK(CONCATENATE("https://faluhong.users.earthengine.app/view/hispaniola-lc-validation#id=PF14;lat=18.918555874040557;lon=-70.68035365839627;year=2000;bf=40;level=18;"), "landsat_time_series")</f>
        <v>landsat_time_series</v>
      </c>
      <c r="I15" s="8" t="str">
        <f>HYPERLINK(CONCATENATE("https://jstnbraaten.users.earthengine.app/view/landsat-timeseries-explorer#run=true;lon=-70.68035365839627;lat=18.918555874040557;from=01-01;to=12-31;index=NBR;rgb=NIR%2FRED%2FGREEN;chipwidth=1;"), "landsat_chips")</f>
        <v>landsat_chips</v>
      </c>
      <c r="J15" s="8" t="str">
        <f>HYPERLINK(CONCATENATE("https://livingatlas.arcgis.com/wayback/#ext=-70.68135365839628,18.919555874040558,-70.67935365839627,18.917555874040556"), "wayback")</f>
        <v>wayback</v>
      </c>
      <c r="K15" s="2" t="s">
        <v>418</v>
      </c>
      <c r="L15" s="5"/>
      <c r="M15" s="5" t="s">
        <v>418</v>
      </c>
      <c r="N15" s="5" t="s">
        <v>922</v>
      </c>
    </row>
    <row r="16" spans="1:14" x14ac:dyDescent="0.35">
      <c r="A16" s="2">
        <v>15</v>
      </c>
      <c r="B16" s="2" t="s">
        <v>424</v>
      </c>
      <c r="C16" s="2" t="s">
        <v>447</v>
      </c>
      <c r="D16" s="2" t="s">
        <v>10</v>
      </c>
      <c r="E16" s="2">
        <v>300</v>
      </c>
      <c r="F16" s="2">
        <v>18.10994439064206</v>
      </c>
      <c r="G16" s="2">
        <v>-71.721565633132968</v>
      </c>
      <c r="H16" s="8" t="str">
        <f>HYPERLINK(CONCATENATE("https://faluhong.users.earthengine.app/view/hispaniola-lc-validation#id=PF15;lat=18.109944390642063;lon=-71.72156563313297;year=2000;bf=40;level=18;"), "landsat_time_series")</f>
        <v>landsat_time_series</v>
      </c>
      <c r="I16" s="8" t="str">
        <f>HYPERLINK(CONCATENATE("https://jstnbraaten.users.earthengine.app/view/landsat-timeseries-explorer#run=true;lon=-71.72156563313297;lat=18.109944390642063;from=01-01;to=12-31;index=NBR;rgb=NIR%2FRED%2FGREEN;chipwidth=1;"), "landsat_chips")</f>
        <v>landsat_chips</v>
      </c>
      <c r="J16" s="8" t="str">
        <f>HYPERLINK(CONCATENATE("https://livingatlas.arcgis.com/wayback/#ext=-71.72256563313297,18.110944390642064,-71.72056563313296,18.108944390642062"), "wayback")</f>
        <v>wayback</v>
      </c>
      <c r="K16" s="2" t="s">
        <v>422</v>
      </c>
      <c r="L16" s="5"/>
      <c r="M16" s="5" t="s">
        <v>422</v>
      </c>
      <c r="N16" s="5"/>
    </row>
    <row r="17" spans="1:14" x14ac:dyDescent="0.35">
      <c r="A17" s="2">
        <v>16</v>
      </c>
      <c r="B17" s="2" t="s">
        <v>424</v>
      </c>
      <c r="C17" s="2" t="s">
        <v>448</v>
      </c>
      <c r="D17" s="2" t="s">
        <v>20</v>
      </c>
      <c r="E17" s="2">
        <v>225</v>
      </c>
      <c r="F17" s="2">
        <v>18.925854202253529</v>
      </c>
      <c r="G17" s="2">
        <v>-72.183052033343344</v>
      </c>
      <c r="H17" s="8" t="str">
        <f>HYPERLINK(CONCATENATE("https://faluhong.users.earthengine.app/view/hispaniola-lc-validation#id=PF16;lat=18.92585420225353;lon=-72.18305203334334;year=2000;bf=40;level=18;"), "landsat_time_series")</f>
        <v>landsat_time_series</v>
      </c>
      <c r="I17" s="8" t="str">
        <f>HYPERLINK(CONCATENATE("https://jstnbraaten.users.earthengine.app/view/landsat-timeseries-explorer#run=true;lon=-72.18305203334334;lat=18.92585420225353;from=01-01;to=12-31;index=NBR;rgb=NIR%2FRED%2FGREEN;chipwidth=1;"), "landsat_chips")</f>
        <v>landsat_chips</v>
      </c>
      <c r="J17" s="8" t="str">
        <f>HYPERLINK(CONCATENATE("https://livingatlas.arcgis.com/wayback/#ext=-72.18405203334335,18.92685420225353,-72.18205203334334,18.924854202253528"), "wayback")</f>
        <v>wayback</v>
      </c>
      <c r="K17" s="2" t="s">
        <v>422</v>
      </c>
      <c r="L17" s="5"/>
      <c r="M17" s="5" t="s">
        <v>422</v>
      </c>
      <c r="N17" s="5"/>
    </row>
    <row r="18" spans="1:14" x14ac:dyDescent="0.35">
      <c r="A18" s="2">
        <v>17</v>
      </c>
      <c r="B18" s="2" t="s">
        <v>424</v>
      </c>
      <c r="C18" s="2" t="s">
        <v>449</v>
      </c>
      <c r="D18" s="2" t="s">
        <v>10</v>
      </c>
      <c r="E18" s="2">
        <v>175</v>
      </c>
      <c r="F18" s="2">
        <v>19.72792614590373</v>
      </c>
      <c r="G18" s="2">
        <v>-70.859511946843185</v>
      </c>
      <c r="H18" s="8" t="str">
        <f>HYPERLINK(CONCATENATE("https://faluhong.users.earthengine.app/view/hispaniola-lc-validation#id=PF17;lat=19.727926145903734;lon=-70.85951194684318;year=2000;bf=40;level=18;"), "landsat_time_series")</f>
        <v>landsat_time_series</v>
      </c>
      <c r="I18" s="8" t="str">
        <f>HYPERLINK(CONCATENATE("https://jstnbraaten.users.earthengine.app/view/landsat-timeseries-explorer#run=true;lon=-70.85951194684318;lat=19.727926145903734;from=01-01;to=12-31;index=NBR;rgb=NIR%2FRED%2FGREEN;chipwidth=1;"), "landsat_chips")</f>
        <v>landsat_chips</v>
      </c>
      <c r="J18" s="8" t="str">
        <f>HYPERLINK(CONCATENATE("https://livingatlas.arcgis.com/wayback/#ext=-70.86051194684319,19.728926145903735,-70.85851194684318,19.726926145903732"), "wayback")</f>
        <v>wayback</v>
      </c>
      <c r="K18" s="2" t="s">
        <v>422</v>
      </c>
      <c r="L18" s="5"/>
      <c r="M18" s="5" t="s">
        <v>422</v>
      </c>
      <c r="N18" s="5"/>
    </row>
    <row r="19" spans="1:14" x14ac:dyDescent="0.35">
      <c r="A19" s="2">
        <v>18</v>
      </c>
      <c r="B19" s="2" t="s">
        <v>424</v>
      </c>
      <c r="C19" s="2" t="s">
        <v>450</v>
      </c>
      <c r="D19" s="2" t="s">
        <v>10</v>
      </c>
      <c r="E19" s="2">
        <v>1759</v>
      </c>
      <c r="F19" s="2">
        <v>18.1841610557824</v>
      </c>
      <c r="G19" s="2">
        <v>-71.62662189621669</v>
      </c>
      <c r="H19" s="8" t="str">
        <f>HYPERLINK(CONCATENATE("https://faluhong.users.earthengine.app/view/hispaniola-lc-validation#id=PF18;lat=18.184161055782404;lon=-71.62662189621669;year=2000;bf=40;level=18;"), "landsat_time_series")</f>
        <v>landsat_time_series</v>
      </c>
      <c r="I19" s="8" t="str">
        <f>HYPERLINK(CONCATENATE("https://jstnbraaten.users.earthengine.app/view/landsat-timeseries-explorer#run=true;lon=-71.62662189621669;lat=18.184161055782404;from=01-01;to=12-31;index=NBR;rgb=NIR%2FRED%2FGREEN;chipwidth=1;"), "landsat_chips")</f>
        <v>landsat_chips</v>
      </c>
      <c r="J19" s="8" t="str">
        <f>HYPERLINK(CONCATENATE("https://livingatlas.arcgis.com/wayback/#ext=-71.6276218962167,18.185161055782405,-71.62562189621669,18.183161055782403"), "wayback")</f>
        <v>wayback</v>
      </c>
      <c r="K19" s="2" t="s">
        <v>418</v>
      </c>
      <c r="L19" s="5"/>
      <c r="M19" s="5" t="s">
        <v>422</v>
      </c>
      <c r="N19" s="5"/>
    </row>
    <row r="20" spans="1:14" x14ac:dyDescent="0.35">
      <c r="A20" s="2">
        <v>19</v>
      </c>
      <c r="B20" s="2" t="s">
        <v>424</v>
      </c>
      <c r="C20" s="2" t="s">
        <v>451</v>
      </c>
      <c r="D20" s="2" t="s">
        <v>20</v>
      </c>
      <c r="E20" s="2">
        <v>30</v>
      </c>
      <c r="F20" s="2">
        <v>19.652327454448201</v>
      </c>
      <c r="G20" s="2">
        <v>-73.031518363669093</v>
      </c>
      <c r="H20" s="8" t="str">
        <f>HYPERLINK(CONCATENATE("https://faluhong.users.earthengine.app/view/hispaniola-lc-validation#id=PF19;lat=19.652327454448198;lon=-73.0315183636691;year=2000;bf=40;level=18;"), "landsat_time_series")</f>
        <v>landsat_time_series</v>
      </c>
      <c r="I20" s="8" t="str">
        <f>HYPERLINK(CONCATENATE("https://jstnbraaten.users.earthengine.app/view/landsat-timeseries-explorer#run=true;lon=-73.0315183636691;lat=19.652327454448198;from=01-01;to=12-31;index=NBR;rgb=NIR%2FRED%2FGREEN;chipwidth=1;"), "landsat_chips")</f>
        <v>landsat_chips</v>
      </c>
      <c r="J20" s="8" t="str">
        <f>HYPERLINK(CONCATENATE("https://livingatlas.arcgis.com/wayback/#ext=-73.0325183636691,19.6533274544482,-73.03051836366909,19.651327454448197"), "wayback")</f>
        <v>wayback</v>
      </c>
      <c r="K20" s="2" t="s">
        <v>422</v>
      </c>
      <c r="L20" s="5"/>
      <c r="M20" s="5" t="s">
        <v>422</v>
      </c>
      <c r="N20" s="5"/>
    </row>
    <row r="21" spans="1:14" x14ac:dyDescent="0.35">
      <c r="A21" s="2">
        <v>20</v>
      </c>
      <c r="B21" s="2" t="s">
        <v>424</v>
      </c>
      <c r="C21" s="2" t="s">
        <v>452</v>
      </c>
      <c r="D21" s="2" t="s">
        <v>10</v>
      </c>
      <c r="E21" s="2">
        <v>1479</v>
      </c>
      <c r="F21" s="2">
        <v>18.7128986304831</v>
      </c>
      <c r="G21" s="2">
        <v>-70.650718042873308</v>
      </c>
      <c r="H21" s="8" t="str">
        <f>HYPERLINK(CONCATENATE("https://faluhong.users.earthengine.app/view/hispaniola-lc-validation#id=PF20;lat=18.712898630483096;lon=-70.65071804287331;year=2000;bf=40;level=18;"), "landsat_time_series")</f>
        <v>landsat_time_series</v>
      </c>
      <c r="I21" s="8" t="str">
        <f>HYPERLINK(CONCATENATE("https://jstnbraaten.users.earthengine.app/view/landsat-timeseries-explorer#run=true;lon=-70.65071804287331;lat=18.712898630483096;from=01-01;to=12-31;index=NBR;rgb=NIR%2FRED%2FGREEN;chipwidth=1;"), "landsat_chips")</f>
        <v>landsat_chips</v>
      </c>
      <c r="J21" s="8" t="str">
        <f>HYPERLINK(CONCATENATE("https://livingatlas.arcgis.com/wayback/#ext=-70.65171804287331,18.713898630483097,-70.6497180428733,18.711898630483095"), "wayback")</f>
        <v>wayback</v>
      </c>
      <c r="K21" s="2" t="s">
        <v>418</v>
      </c>
      <c r="L21" s="5"/>
      <c r="M21" s="5" t="s">
        <v>422</v>
      </c>
      <c r="N21" s="5"/>
    </row>
    <row r="22" spans="1:14" x14ac:dyDescent="0.35">
      <c r="A22" s="2">
        <v>21</v>
      </c>
      <c r="B22" s="2" t="s">
        <v>424</v>
      </c>
      <c r="C22" s="2" t="s">
        <v>453</v>
      </c>
      <c r="D22" s="2" t="s">
        <v>20</v>
      </c>
      <c r="E22" s="2">
        <v>142</v>
      </c>
      <c r="F22" s="2">
        <v>19.708571608662069</v>
      </c>
      <c r="G22" s="2">
        <v>-73.089726007166135</v>
      </c>
      <c r="H22" s="8" t="str">
        <f>HYPERLINK(CONCATENATE("https://faluhong.users.earthengine.app/view/hispaniola-lc-validation#id=PF21;lat=19.708571608662066;lon=-73.08972600716613;year=2000;bf=40;level=18;"), "landsat_time_series")</f>
        <v>landsat_time_series</v>
      </c>
      <c r="I22" s="8" t="str">
        <f>HYPERLINK(CONCATENATE("https://jstnbraaten.users.earthengine.app/view/landsat-timeseries-explorer#run=true;lon=-73.08972600716613;lat=19.708571608662066;from=01-01;to=12-31;index=NBR;rgb=NIR%2FRED%2FGREEN;chipwidth=1;"), "landsat_chips")</f>
        <v>landsat_chips</v>
      </c>
      <c r="J22" s="8" t="str">
        <f>HYPERLINK(CONCATENATE("https://livingatlas.arcgis.com/wayback/#ext=-73.09072600716614,19.709571608662067,-73.08872600716613,19.707571608662064"), "wayback")</f>
        <v>wayback</v>
      </c>
      <c r="K22" s="2" t="s">
        <v>422</v>
      </c>
      <c r="L22" s="5"/>
      <c r="M22" s="5" t="s">
        <v>422</v>
      </c>
      <c r="N22" s="5"/>
    </row>
    <row r="23" spans="1:14" x14ac:dyDescent="0.35">
      <c r="A23" s="2">
        <v>22</v>
      </c>
      <c r="B23" s="2" t="s">
        <v>424</v>
      </c>
      <c r="C23" s="2" t="s">
        <v>454</v>
      </c>
      <c r="D23" s="2" t="s">
        <v>20</v>
      </c>
      <c r="E23" s="2">
        <v>260</v>
      </c>
      <c r="F23" s="2">
        <v>18.337642678644379</v>
      </c>
      <c r="G23" s="2">
        <v>-72.463108110632831</v>
      </c>
      <c r="H23" s="8" t="str">
        <f>HYPERLINK(CONCATENATE("https://faluhong.users.earthengine.app/view/hispaniola-lc-validation#id=PF22;lat=18.33764267864438;lon=-72.46310811063283;year=2000;bf=40;level=18;"), "landsat_time_series")</f>
        <v>landsat_time_series</v>
      </c>
      <c r="I23" s="8" t="str">
        <f>HYPERLINK(CONCATENATE("https://jstnbraaten.users.earthengine.app/view/landsat-timeseries-explorer#run=true;lon=-72.46310811063283;lat=18.33764267864438;from=01-01;to=12-31;index=NBR;rgb=NIR%2FRED%2FGREEN;chipwidth=1;"), "landsat_chips")</f>
        <v>landsat_chips</v>
      </c>
      <c r="J23" s="8" t="str">
        <f>HYPERLINK(CONCATENATE("https://livingatlas.arcgis.com/wayback/#ext=-72.46410811063284,18.33864267864438,-72.46210811063283,18.336642678644377"), "wayback")</f>
        <v>wayback</v>
      </c>
      <c r="K23" s="2" t="s">
        <v>422</v>
      </c>
      <c r="L23" s="5"/>
      <c r="M23" s="5" t="s">
        <v>422</v>
      </c>
      <c r="N23" s="5"/>
    </row>
    <row r="24" spans="1:14" x14ac:dyDescent="0.35">
      <c r="A24" s="2">
        <v>23</v>
      </c>
      <c r="B24" s="2" t="s">
        <v>424</v>
      </c>
      <c r="C24" s="2" t="s">
        <v>455</v>
      </c>
      <c r="D24" s="2" t="s">
        <v>10</v>
      </c>
      <c r="E24" s="2">
        <v>2252</v>
      </c>
      <c r="F24" s="2">
        <v>18.77349796476836</v>
      </c>
      <c r="G24" s="2">
        <v>-70.707106825907488</v>
      </c>
      <c r="H24" s="8" t="str">
        <f>HYPERLINK(CONCATENATE("https://faluhong.users.earthengine.app/view/hispaniola-lc-validation#id=PF23;lat=18.773497964768357;lon=-70.70710682590749;year=2000;bf=40;level=18;"), "landsat_time_series")</f>
        <v>landsat_time_series</v>
      </c>
      <c r="I24" s="8" t="str">
        <f>HYPERLINK(CONCATENATE("https://jstnbraaten.users.earthengine.app/view/landsat-timeseries-explorer#run=true;lon=-70.70710682590749;lat=18.773497964768357;from=01-01;to=12-31;index=NBR;rgb=NIR%2FRED%2FGREEN;chipwidth=1;"), "landsat_chips")</f>
        <v>landsat_chips</v>
      </c>
      <c r="J24" s="8" t="str">
        <f>HYPERLINK(CONCATENATE("https://livingatlas.arcgis.com/wayback/#ext=-70.70810682590749,18.774497964768358,-70.70610682590748,18.772497964768355"), "wayback")</f>
        <v>wayback</v>
      </c>
      <c r="K24" s="2" t="s">
        <v>418</v>
      </c>
      <c r="L24" s="5"/>
      <c r="M24" s="5" t="s">
        <v>422</v>
      </c>
      <c r="N24" s="5"/>
    </row>
    <row r="25" spans="1:14" x14ac:dyDescent="0.35">
      <c r="A25" s="2">
        <v>24</v>
      </c>
      <c r="B25" s="2" t="s">
        <v>424</v>
      </c>
      <c r="C25" s="2" t="s">
        <v>456</v>
      </c>
      <c r="D25" s="2" t="s">
        <v>20</v>
      </c>
      <c r="E25" s="2">
        <v>656</v>
      </c>
      <c r="F25" s="2">
        <v>19.773339379368739</v>
      </c>
      <c r="G25" s="2">
        <v>-73.058220005430911</v>
      </c>
      <c r="H25" s="8" t="str">
        <f>HYPERLINK(CONCATENATE("https://faluhong.users.earthengine.app/view/hispaniola-lc-validation#id=PF24;lat=19.77333937936874;lon=-73.05822000543091;year=2000;bf=40;level=18;"), "landsat_time_series")</f>
        <v>landsat_time_series</v>
      </c>
      <c r="I25" s="8" t="str">
        <f>HYPERLINK(CONCATENATE("https://jstnbraaten.users.earthengine.app/view/landsat-timeseries-explorer#run=true;lon=-73.05822000543091;lat=19.77333937936874;from=01-01;to=12-31;index=NBR;rgb=NIR%2FRED%2FGREEN;chipwidth=1;"), "landsat_chips")</f>
        <v>landsat_chips</v>
      </c>
      <c r="J25" s="8" t="str">
        <f>HYPERLINK(CONCATENATE("https://livingatlas.arcgis.com/wayback/#ext=-73.05922000543092,19.77433937936874,-73.0572200054309,19.772339379368738"), "wayback")</f>
        <v>wayback</v>
      </c>
      <c r="K25" s="2" t="s">
        <v>422</v>
      </c>
      <c r="L25" s="5"/>
      <c r="M25" s="5" t="s">
        <v>422</v>
      </c>
      <c r="N25" s="5"/>
    </row>
    <row r="26" spans="1:14" x14ac:dyDescent="0.35">
      <c r="A26" s="2">
        <v>25</v>
      </c>
      <c r="B26" s="2" t="s">
        <v>424</v>
      </c>
      <c r="C26" s="2" t="s">
        <v>457</v>
      </c>
      <c r="D26" s="2" t="s">
        <v>10</v>
      </c>
      <c r="E26" s="2">
        <v>1427</v>
      </c>
      <c r="F26" s="2">
        <v>18.941844359469648</v>
      </c>
      <c r="G26" s="2">
        <v>-71.049667984520596</v>
      </c>
      <c r="H26" s="8" t="str">
        <f>HYPERLINK(CONCATENATE("https://faluhong.users.earthengine.app/view/hispaniola-lc-validation#id=PF25;lat=18.94184435946965;lon=-71.0496679845206;year=2000;bf=40;level=18;"), "landsat_time_series")</f>
        <v>landsat_time_series</v>
      </c>
      <c r="I26" s="8" t="str">
        <f>HYPERLINK(CONCATENATE("https://jstnbraaten.users.earthengine.app/view/landsat-timeseries-explorer#run=true;lon=-71.0496679845206;lat=18.94184435946965;from=01-01;to=12-31;index=NBR;rgb=NIR%2FRED%2FGREEN;chipwidth=1;"), "landsat_chips")</f>
        <v>landsat_chips</v>
      </c>
      <c r="J26" s="8" t="str">
        <f>HYPERLINK(CONCATENATE("https://livingatlas.arcgis.com/wayback/#ext=-71.0506679845206,18.94284435946965,-71.04866798452059,18.940844359469647"), "wayback")</f>
        <v>wayback</v>
      </c>
      <c r="K26" s="2" t="s">
        <v>418</v>
      </c>
      <c r="L26" s="5"/>
      <c r="M26" s="5" t="s">
        <v>418</v>
      </c>
      <c r="N26" s="5" t="s">
        <v>922</v>
      </c>
    </row>
    <row r="27" spans="1:14" x14ac:dyDescent="0.35">
      <c r="A27" s="2">
        <v>26</v>
      </c>
      <c r="B27" s="2" t="s">
        <v>424</v>
      </c>
      <c r="C27" s="2" t="s">
        <v>458</v>
      </c>
      <c r="D27" s="2" t="s">
        <v>10</v>
      </c>
      <c r="E27" s="2">
        <v>2429</v>
      </c>
      <c r="F27" s="2">
        <v>19.11851814848286</v>
      </c>
      <c r="G27" s="2">
        <v>-71.123145652441764</v>
      </c>
      <c r="H27" s="8" t="str">
        <f>HYPERLINK(CONCATENATE("https://faluhong.users.earthengine.app/view/hispaniola-lc-validation#id=PF26;lat=19.11851814848286;lon=-71.12314565244176;year=2000;bf=40;level=18;"), "landsat_time_series")</f>
        <v>landsat_time_series</v>
      </c>
      <c r="I27" s="8" t="str">
        <f>HYPERLINK(CONCATENATE("https://jstnbraaten.users.earthengine.app/view/landsat-timeseries-explorer#run=true;lon=-71.12314565244176;lat=19.11851814848286;from=01-01;to=12-31;index=NBR;rgb=NIR%2FRED%2FGREEN;chipwidth=1;"), "landsat_chips")</f>
        <v>landsat_chips</v>
      </c>
      <c r="J27" s="8" t="str">
        <f>HYPERLINK(CONCATENATE("https://livingatlas.arcgis.com/wayback/#ext=-71.12414565244177,19.11951814848286,-71.12214565244176,19.11751814848286"), "wayback")</f>
        <v>wayback</v>
      </c>
      <c r="K27" s="2" t="s">
        <v>418</v>
      </c>
      <c r="L27" s="5"/>
      <c r="M27" s="5" t="s">
        <v>418</v>
      </c>
      <c r="N27" s="5" t="s">
        <v>419</v>
      </c>
    </row>
    <row r="28" spans="1:14" x14ac:dyDescent="0.35">
      <c r="A28" s="2">
        <v>27</v>
      </c>
      <c r="B28" s="2" t="s">
        <v>424</v>
      </c>
      <c r="C28" s="2" t="s">
        <v>459</v>
      </c>
      <c r="D28" s="2" t="s">
        <v>10</v>
      </c>
      <c r="E28" s="2">
        <v>10</v>
      </c>
      <c r="F28" s="2">
        <v>18.234801434414351</v>
      </c>
      <c r="G28" s="2">
        <v>-70.194158156653145</v>
      </c>
      <c r="H28" s="8" t="str">
        <f>HYPERLINK(CONCATENATE("https://faluhong.users.earthengine.app/view/hispaniola-lc-validation#id=PF27;lat=18.234801434414354;lon=-70.19415815665315;year=2000;bf=40;level=18;"), "landsat_time_series")</f>
        <v>landsat_time_series</v>
      </c>
      <c r="I28" s="8" t="str">
        <f>HYPERLINK(CONCATENATE("https://jstnbraaten.users.earthengine.app/view/landsat-timeseries-explorer#run=true;lon=-70.19415815665315;lat=18.234801434414354;from=01-01;to=12-31;index=NBR;rgb=NIR%2FRED%2FGREEN;chipwidth=1;"), "landsat_chips")</f>
        <v>landsat_chips</v>
      </c>
      <c r="J28" s="8" t="str">
        <f>HYPERLINK(CONCATENATE("https://livingatlas.arcgis.com/wayback/#ext=-70.19515815665315,18.235801434414356,-70.19315815665314,18.233801434414353"), "wayback")</f>
        <v>wayback</v>
      </c>
      <c r="K28" s="2" t="s">
        <v>422</v>
      </c>
      <c r="L28" s="5"/>
      <c r="M28" s="5" t="s">
        <v>422</v>
      </c>
      <c r="N28" s="5"/>
    </row>
    <row r="29" spans="1:14" x14ac:dyDescent="0.35">
      <c r="A29" s="2">
        <v>28</v>
      </c>
      <c r="B29" s="2" t="s">
        <v>424</v>
      </c>
      <c r="C29" s="2" t="s">
        <v>460</v>
      </c>
      <c r="D29" s="2" t="s">
        <v>10</v>
      </c>
      <c r="E29" s="2">
        <v>1655</v>
      </c>
      <c r="F29" s="2">
        <v>18.167065391470022</v>
      </c>
      <c r="G29" s="2">
        <v>-71.494981795907123</v>
      </c>
      <c r="H29" s="8" t="str">
        <f>HYPERLINK(CONCATENATE("https://faluhong.users.earthengine.app/view/hispaniola-lc-validation#id=PF28;lat=18.16706539147002;lon=-71.49498179590712;year=2000;bf=40;level=18;"), "landsat_time_series")</f>
        <v>landsat_time_series</v>
      </c>
      <c r="I29" s="8" t="str">
        <f>HYPERLINK(CONCATENATE("https://jstnbraaten.users.earthengine.app/view/landsat-timeseries-explorer#run=true;lon=-71.49498179590712;lat=18.16706539147002;from=01-01;to=12-31;index=NBR;rgb=NIR%2FRED%2FGREEN;chipwidth=1;"), "landsat_chips")</f>
        <v>landsat_chips</v>
      </c>
      <c r="J29" s="8" t="str">
        <f>HYPERLINK(CONCATENATE("https://livingatlas.arcgis.com/wayback/#ext=-71.49598179590713,18.168065391470023,-71.49398179590712,18.16606539147002"), "wayback")</f>
        <v>wayback</v>
      </c>
      <c r="K29" s="2" t="s">
        <v>418</v>
      </c>
      <c r="L29" s="5"/>
      <c r="M29" s="5" t="s">
        <v>422</v>
      </c>
      <c r="N29" s="5"/>
    </row>
    <row r="30" spans="1:14" x14ac:dyDescent="0.35">
      <c r="A30" s="2">
        <v>29</v>
      </c>
      <c r="B30" s="2" t="s">
        <v>424</v>
      </c>
      <c r="C30" s="2" t="s">
        <v>461</v>
      </c>
      <c r="D30" s="2" t="s">
        <v>10</v>
      </c>
      <c r="E30" s="2">
        <v>758</v>
      </c>
      <c r="F30" s="2">
        <v>19.221479535561311</v>
      </c>
      <c r="G30" s="2">
        <v>-70.909485107800634</v>
      </c>
      <c r="H30" s="8" t="str">
        <f>HYPERLINK(CONCATENATE("https://faluhong.users.earthengine.app/view/hispaniola-lc-validation#id=PF29;lat=19.221479535561308;lon=-70.90948510780063;year=2000;bf=40;level=18;"), "landsat_time_series")</f>
        <v>landsat_time_series</v>
      </c>
      <c r="I30" s="8" t="str">
        <f>HYPERLINK(CONCATENATE("https://jstnbraaten.users.earthengine.app/view/landsat-timeseries-explorer#run=true;lon=-70.90948510780063;lat=19.221479535561308;from=01-01;to=12-31;index=NBR;rgb=NIR%2FRED%2FGREEN;chipwidth=1;"), "landsat_chips")</f>
        <v>landsat_chips</v>
      </c>
      <c r="J30" s="8" t="str">
        <f>HYPERLINK(CONCATENATE("https://livingatlas.arcgis.com/wayback/#ext=-70.91048510780064,19.22247953556131,-70.90848510780063,19.220479535561307"), "wayback")</f>
        <v>wayback</v>
      </c>
      <c r="K30" s="2" t="s">
        <v>418</v>
      </c>
      <c r="L30" s="5" t="b">
        <v>1</v>
      </c>
      <c r="M30" s="5" t="s">
        <v>418</v>
      </c>
      <c r="N30" s="5" t="s">
        <v>922</v>
      </c>
    </row>
    <row r="31" spans="1:14" x14ac:dyDescent="0.35">
      <c r="A31" s="2">
        <v>30</v>
      </c>
      <c r="B31" s="2" t="s">
        <v>424</v>
      </c>
      <c r="C31" s="2" t="s">
        <v>462</v>
      </c>
      <c r="D31" s="2" t="s">
        <v>10</v>
      </c>
      <c r="E31" s="2">
        <v>1826</v>
      </c>
      <c r="F31" s="2">
        <v>18.986945405042071</v>
      </c>
      <c r="G31" s="2">
        <v>-70.860803063434602</v>
      </c>
      <c r="H31" s="8" t="str">
        <f>HYPERLINK(CONCATENATE("https://faluhong.users.earthengine.app/view/hispaniola-lc-validation#id=PF30;lat=18.986945405042068;lon=-70.8608030634346;year=2000;bf=40;level=18;"), "landsat_time_series")</f>
        <v>landsat_time_series</v>
      </c>
      <c r="I31" s="8" t="str">
        <f>HYPERLINK(CONCATENATE("https://jstnbraaten.users.earthengine.app/view/landsat-timeseries-explorer#run=true;lon=-70.8608030634346;lat=18.986945405042068;from=01-01;to=12-31;index=NBR;rgb=NIR%2FRED%2FGREEN;chipwidth=1;"), "landsat_chips")</f>
        <v>landsat_chips</v>
      </c>
      <c r="J31" s="8" t="str">
        <f>HYPERLINK(CONCATENATE("https://livingatlas.arcgis.com/wayback/#ext=-70.8618030634346,18.98794540504207,-70.8598030634346,18.985945405042067"), "wayback")</f>
        <v>wayback</v>
      </c>
      <c r="K31" s="2" t="s">
        <v>418</v>
      </c>
      <c r="L31" s="5"/>
      <c r="M31" s="5" t="s">
        <v>418</v>
      </c>
      <c r="N31" s="5" t="s">
        <v>419</v>
      </c>
    </row>
    <row r="32" spans="1:14" x14ac:dyDescent="0.35">
      <c r="A32" s="2">
        <v>31</v>
      </c>
      <c r="B32" s="2" t="s">
        <v>424</v>
      </c>
      <c r="C32" s="2" t="s">
        <v>463</v>
      </c>
      <c r="D32" s="2" t="s">
        <v>10</v>
      </c>
      <c r="E32" s="2">
        <v>1582</v>
      </c>
      <c r="F32" s="2">
        <v>19.031202348785921</v>
      </c>
      <c r="G32" s="2">
        <v>-71.425258840189258</v>
      </c>
      <c r="H32" s="8" t="str">
        <f>HYPERLINK(CONCATENATE("https://faluhong.users.earthengine.app/view/hispaniola-lc-validation#id=PF31;lat=19.03120234878592;lon=-71.42525884018926;year=2000;bf=40;level=18;"), "landsat_time_series")</f>
        <v>landsat_time_series</v>
      </c>
      <c r="I32" s="8" t="str">
        <f>HYPERLINK(CONCATENATE("https://jstnbraaten.users.earthengine.app/view/landsat-timeseries-explorer#run=true;lon=-71.42525884018926;lat=19.03120234878592;from=01-01;to=12-31;index=NBR;rgb=NIR%2FRED%2FGREEN;chipwidth=1;"), "landsat_chips")</f>
        <v>landsat_chips</v>
      </c>
      <c r="J32" s="8" t="str">
        <f>HYPERLINK(CONCATENATE("https://livingatlas.arcgis.com/wayback/#ext=-71.42625884018926,19.032202348785923,-71.42425884018925,19.03020234878592"), "wayback")</f>
        <v>wayback</v>
      </c>
      <c r="K32" s="2" t="s">
        <v>422</v>
      </c>
      <c r="L32" s="5"/>
      <c r="M32" s="5" t="s">
        <v>422</v>
      </c>
      <c r="N32" s="5"/>
    </row>
    <row r="33" spans="1:14" x14ac:dyDescent="0.35">
      <c r="A33" s="2">
        <v>32</v>
      </c>
      <c r="B33" s="2" t="s">
        <v>424</v>
      </c>
      <c r="C33" s="2" t="s">
        <v>464</v>
      </c>
      <c r="D33" s="2" t="s">
        <v>10</v>
      </c>
      <c r="E33" s="2">
        <v>1340</v>
      </c>
      <c r="F33" s="2">
        <v>18.178973942890021</v>
      </c>
      <c r="G33" s="2">
        <v>-71.292359492058793</v>
      </c>
      <c r="H33" s="8" t="str">
        <f>HYPERLINK(CONCATENATE("https://faluhong.users.earthengine.app/view/hispaniola-lc-validation#id=PF32;lat=18.178973942890025;lon=-71.2923594920588;year=2000;bf=40;level=18;"), "landsat_time_series")</f>
        <v>landsat_time_series</v>
      </c>
      <c r="I33" s="8" t="str">
        <f>HYPERLINK(CONCATENATE("https://jstnbraaten.users.earthengine.app/view/landsat-timeseries-explorer#run=true;lon=-71.2923594920588;lat=18.178973942890025;from=01-01;to=12-31;index=NBR;rgb=NIR%2FRED%2FGREEN;chipwidth=1;"), "landsat_chips")</f>
        <v>landsat_chips</v>
      </c>
      <c r="J33" s="8" t="str">
        <f>HYPERLINK(CONCATENATE("https://livingatlas.arcgis.com/wayback/#ext=-71.2933594920588,18.179973942890026,-71.29135949205879,18.177973942890024"), "wayback")</f>
        <v>wayback</v>
      </c>
      <c r="K33" s="2" t="s">
        <v>418</v>
      </c>
      <c r="L33" s="5"/>
      <c r="M33" s="5" t="s">
        <v>418</v>
      </c>
      <c r="N33" s="5" t="s">
        <v>419</v>
      </c>
    </row>
    <row r="34" spans="1:14" x14ac:dyDescent="0.35">
      <c r="A34" s="2">
        <v>33</v>
      </c>
      <c r="B34" s="2" t="s">
        <v>424</v>
      </c>
      <c r="C34" s="2" t="s">
        <v>465</v>
      </c>
      <c r="D34" s="2" t="s">
        <v>10</v>
      </c>
      <c r="E34" s="2">
        <v>136</v>
      </c>
      <c r="F34" s="2">
        <v>17.87574250240143</v>
      </c>
      <c r="G34" s="2">
        <v>-71.509490625116939</v>
      </c>
      <c r="H34" s="8" t="str">
        <f>HYPERLINK(CONCATENATE("https://faluhong.users.earthengine.app/view/hispaniola-lc-validation#id=PF33;lat=17.875742502401433;lon=-71.50949062511694;year=2000;bf=40;level=18;"), "landsat_time_series")</f>
        <v>landsat_time_series</v>
      </c>
      <c r="I34" s="8" t="str">
        <f>HYPERLINK(CONCATENATE("https://jstnbraaten.users.earthengine.app/view/landsat-timeseries-explorer#run=true;lon=-71.50949062511694;lat=17.875742502401433;from=01-01;to=12-31;index=NBR;rgb=NIR%2FRED%2FGREEN;chipwidth=1;"), "landsat_chips")</f>
        <v>landsat_chips</v>
      </c>
      <c r="J34" s="8" t="str">
        <f>HYPERLINK(CONCATENATE("https://livingatlas.arcgis.com/wayback/#ext=-71.51049062511694,17.876742502401434,-71.50849062511693,17.874742502401432"), "wayback")</f>
        <v>wayback</v>
      </c>
      <c r="K34" s="2" t="s">
        <v>422</v>
      </c>
      <c r="L34" s="5"/>
      <c r="M34" s="5" t="s">
        <v>422</v>
      </c>
      <c r="N34" s="5"/>
    </row>
    <row r="35" spans="1:14" x14ac:dyDescent="0.35">
      <c r="A35" s="2">
        <v>34</v>
      </c>
      <c r="B35" s="2" t="s">
        <v>424</v>
      </c>
      <c r="C35" s="2" t="s">
        <v>466</v>
      </c>
      <c r="D35" s="2" t="s">
        <v>10</v>
      </c>
      <c r="E35" s="2">
        <v>117</v>
      </c>
      <c r="F35" s="2">
        <v>17.731398418955841</v>
      </c>
      <c r="G35" s="2">
        <v>-71.477853947111868</v>
      </c>
      <c r="H35" s="8" t="str">
        <f>HYPERLINK(CONCATENATE("https://faluhong.users.earthengine.app/view/hispaniola-lc-validation#id=PF34;lat=17.731398418955845;lon=-71.47785394711187;year=2000;bf=40;level=18;"), "landsat_time_series")</f>
        <v>landsat_time_series</v>
      </c>
      <c r="I35" s="8" t="str">
        <f>HYPERLINK(CONCATENATE("https://jstnbraaten.users.earthengine.app/view/landsat-timeseries-explorer#run=true;lon=-71.47785394711187;lat=17.731398418955845;from=01-01;to=12-31;index=NBR;rgb=NIR%2FRED%2FGREEN;chipwidth=1;"), "landsat_chips")</f>
        <v>landsat_chips</v>
      </c>
      <c r="J35" s="8" t="str">
        <f>HYPERLINK(CONCATENATE("https://livingatlas.arcgis.com/wayback/#ext=-71.47885394711187,17.732398418955846,-71.47685394711186,17.730398418955843"), "wayback")</f>
        <v>wayback</v>
      </c>
      <c r="K35" s="2" t="s">
        <v>418</v>
      </c>
      <c r="L35" s="5"/>
      <c r="M35" s="5" t="s">
        <v>422</v>
      </c>
      <c r="N35" s="5"/>
    </row>
    <row r="36" spans="1:14" x14ac:dyDescent="0.35">
      <c r="A36" s="2">
        <v>35</v>
      </c>
      <c r="B36" s="2" t="s">
        <v>424</v>
      </c>
      <c r="C36" s="2" t="s">
        <v>467</v>
      </c>
      <c r="D36" s="2" t="s">
        <v>20</v>
      </c>
      <c r="E36" s="2">
        <v>1753</v>
      </c>
      <c r="F36" s="2">
        <v>18.32052353978505</v>
      </c>
      <c r="G36" s="2">
        <v>-71.814204376871629</v>
      </c>
      <c r="H36" s="8" t="str">
        <f>HYPERLINK(CONCATENATE("https://faluhong.users.earthengine.app/view/hispaniola-lc-validation#id=PF35;lat=18.32052353978505;lon=-71.81420437687163;year=2000;bf=40;level=18;"), "landsat_time_series")</f>
        <v>landsat_time_series</v>
      </c>
      <c r="I36" s="8" t="str">
        <f>HYPERLINK(CONCATENATE("https://jstnbraaten.users.earthengine.app/view/landsat-timeseries-explorer#run=true;lon=-71.81420437687163;lat=18.32052353978505;from=01-01;to=12-31;index=NBR;rgb=NIR%2FRED%2FGREEN;chipwidth=1;"), "landsat_chips")</f>
        <v>landsat_chips</v>
      </c>
      <c r="J36" s="8" t="str">
        <f>HYPERLINK(CONCATENATE("https://livingatlas.arcgis.com/wayback/#ext=-71.81520437687163,18.32152353978505,-71.81320437687162,18.31952353978505"), "wayback")</f>
        <v>wayback</v>
      </c>
      <c r="K36" s="2" t="s">
        <v>418</v>
      </c>
      <c r="L36" s="5"/>
      <c r="M36" s="5" t="s">
        <v>422</v>
      </c>
      <c r="N36" s="5"/>
    </row>
    <row r="37" spans="1:14" x14ac:dyDescent="0.35">
      <c r="A37" s="2">
        <v>36</v>
      </c>
      <c r="B37" s="2" t="s">
        <v>424</v>
      </c>
      <c r="C37" s="2" t="s">
        <v>468</v>
      </c>
      <c r="D37" s="2" t="s">
        <v>10</v>
      </c>
      <c r="E37" s="2">
        <v>1658</v>
      </c>
      <c r="F37" s="2">
        <v>19.017415984811048</v>
      </c>
      <c r="G37" s="2">
        <v>-71.140033670089977</v>
      </c>
      <c r="H37" s="8" t="str">
        <f>HYPERLINK(CONCATENATE("https://faluhong.users.earthengine.app/view/hispaniola-lc-validation#id=PF36;lat=19.01741598481105;lon=-71.14003367008998;year=2000;bf=40;level=18;"), "landsat_time_series")</f>
        <v>landsat_time_series</v>
      </c>
      <c r="I37" s="8" t="str">
        <f>HYPERLINK(CONCATENATE("https://jstnbraaten.users.earthengine.app/view/landsat-timeseries-explorer#run=true;lon=-71.14003367008998;lat=19.01741598481105;from=01-01;to=12-31;index=NBR;rgb=NIR%2FRED%2FGREEN;chipwidth=1;"), "landsat_chips")</f>
        <v>landsat_chips</v>
      </c>
      <c r="J37" s="8" t="str">
        <f>HYPERLINK(CONCATENATE("https://livingatlas.arcgis.com/wayback/#ext=-71.14103367008998,19.01841598481105,-71.13903367008997,19.016415984811047"), "wayback")</f>
        <v>wayback</v>
      </c>
      <c r="K37" s="2" t="s">
        <v>418</v>
      </c>
      <c r="L37" s="5"/>
      <c r="M37" s="5" t="s">
        <v>418</v>
      </c>
      <c r="N37" s="5" t="s">
        <v>420</v>
      </c>
    </row>
    <row r="38" spans="1:14" x14ac:dyDescent="0.35">
      <c r="A38" s="2">
        <v>37</v>
      </c>
      <c r="B38" s="2" t="s">
        <v>424</v>
      </c>
      <c r="C38" s="2" t="s">
        <v>469</v>
      </c>
      <c r="D38" s="2" t="s">
        <v>10</v>
      </c>
      <c r="E38" s="2">
        <v>1399</v>
      </c>
      <c r="F38" s="2">
        <v>18.274216822919112</v>
      </c>
      <c r="G38" s="2">
        <v>-71.601170883566553</v>
      </c>
      <c r="H38" s="8" t="str">
        <f>HYPERLINK(CONCATENATE("https://faluhong.users.earthengine.app/view/hispaniola-lc-validation#id=PF37;lat=18.274216822919108;lon=-71.60117088356655;year=2000;bf=40;level=18;"), "landsat_time_series")</f>
        <v>landsat_time_series</v>
      </c>
      <c r="I38" s="8" t="str">
        <f>HYPERLINK(CONCATENATE("https://jstnbraaten.users.earthengine.app/view/landsat-timeseries-explorer#run=true;lon=-71.60117088356655;lat=18.274216822919108;from=01-01;to=12-31;index=NBR;rgb=NIR%2FRED%2FGREEN;chipwidth=1;"), "landsat_chips")</f>
        <v>landsat_chips</v>
      </c>
      <c r="J38" s="8" t="str">
        <f>HYPERLINK(CONCATENATE("https://livingatlas.arcgis.com/wayback/#ext=-71.60217088356656,18.27521682291911,-71.60017088356655,18.273216822919107"), "wayback")</f>
        <v>wayback</v>
      </c>
      <c r="K38" s="2" t="s">
        <v>418</v>
      </c>
      <c r="L38" s="5"/>
      <c r="M38" s="5" t="s">
        <v>418</v>
      </c>
      <c r="N38" s="5" t="s">
        <v>419</v>
      </c>
    </row>
    <row r="39" spans="1:14" x14ac:dyDescent="0.35">
      <c r="A39" s="2">
        <v>38</v>
      </c>
      <c r="B39" s="2" t="s">
        <v>424</v>
      </c>
      <c r="C39" s="2" t="s">
        <v>470</v>
      </c>
      <c r="D39" s="2" t="s">
        <v>10</v>
      </c>
      <c r="E39" s="2">
        <v>2305</v>
      </c>
      <c r="F39" s="2">
        <v>19.029509552401141</v>
      </c>
      <c r="G39" s="2">
        <v>-71.11092405140208</v>
      </c>
      <c r="H39" s="8" t="str">
        <f>HYPERLINK(CONCATENATE("https://faluhong.users.earthengine.app/view/hispaniola-lc-validation#id=PF38;lat=19.029509552401137;lon=-71.11092405140208;year=2000;bf=40;level=18;"), "landsat_time_series")</f>
        <v>landsat_time_series</v>
      </c>
      <c r="I39" s="8" t="str">
        <f>HYPERLINK(CONCATENATE("https://jstnbraaten.users.earthengine.app/view/landsat-timeseries-explorer#run=true;lon=-71.11092405140208;lat=19.029509552401137;from=01-01;to=12-31;index=NBR;rgb=NIR%2FRED%2FGREEN;chipwidth=1;"), "landsat_chips")</f>
        <v>landsat_chips</v>
      </c>
      <c r="J39" s="8" t="str">
        <f>HYPERLINK(CONCATENATE("https://livingatlas.arcgis.com/wayback/#ext=-71.11192405140208,19.03050955240114,-71.10992405140207,19.028509552401136"), "wayback")</f>
        <v>wayback</v>
      </c>
      <c r="K39" s="2" t="s">
        <v>418</v>
      </c>
      <c r="L39" s="5"/>
      <c r="M39" s="5" t="s">
        <v>418</v>
      </c>
      <c r="N39" s="5" t="s">
        <v>419</v>
      </c>
    </row>
    <row r="40" spans="1:14" x14ac:dyDescent="0.35">
      <c r="A40" s="2">
        <v>39</v>
      </c>
      <c r="B40" s="2" t="s">
        <v>424</v>
      </c>
      <c r="C40" s="2" t="s">
        <v>471</v>
      </c>
      <c r="D40" s="2" t="s">
        <v>10</v>
      </c>
      <c r="E40" s="2">
        <v>87</v>
      </c>
      <c r="F40" s="2">
        <v>18.5676307889638</v>
      </c>
      <c r="G40" s="2">
        <v>-68.94728903055595</v>
      </c>
      <c r="H40" s="8" t="str">
        <f>HYPERLINK(CONCATENATE("https://faluhong.users.earthengine.app/view/hispaniola-lc-validation#id=PF39;lat=18.567630788963797;lon=-68.94728903055595;year=2000;bf=40;level=18;"), "landsat_time_series")</f>
        <v>landsat_time_series</v>
      </c>
      <c r="I40" s="8" t="str">
        <f>HYPERLINK(CONCATENATE("https://jstnbraaten.users.earthengine.app/view/landsat-timeseries-explorer#run=true;lon=-68.94728903055595;lat=18.567630788963797;from=01-01;to=12-31;index=NBR;rgb=NIR%2FRED%2FGREEN;chipwidth=1;"), "landsat_chips")</f>
        <v>landsat_chips</v>
      </c>
      <c r="J40" s="8" t="str">
        <f>HYPERLINK(CONCATENATE("https://livingatlas.arcgis.com/wayback/#ext=-68.94828903055596,18.568630788963798,-68.94628903055595,18.566630788963796"), "wayback")</f>
        <v>wayback</v>
      </c>
      <c r="K40" s="2" t="s">
        <v>422</v>
      </c>
      <c r="L40" s="5"/>
      <c r="M40" s="5" t="s">
        <v>422</v>
      </c>
      <c r="N40" s="5"/>
    </row>
    <row r="41" spans="1:14" x14ac:dyDescent="0.35">
      <c r="A41" s="2">
        <v>40</v>
      </c>
      <c r="B41" s="2" t="s">
        <v>424</v>
      </c>
      <c r="C41" s="2" t="s">
        <v>472</v>
      </c>
      <c r="D41" s="2" t="s">
        <v>10</v>
      </c>
      <c r="E41" s="2">
        <v>543</v>
      </c>
      <c r="F41" s="2">
        <v>18.618785221728078</v>
      </c>
      <c r="G41" s="2">
        <v>-70.885716176223127</v>
      </c>
      <c r="H41" s="8" t="str">
        <f>HYPERLINK(CONCATENATE("https://faluhong.users.earthengine.app/view/hispaniola-lc-validation#id=PF40;lat=18.618785221728082;lon=-70.88571617622313;year=2000;bf=40;level=18;"), "landsat_time_series")</f>
        <v>landsat_time_series</v>
      </c>
      <c r="I41" s="8" t="str">
        <f>HYPERLINK(CONCATENATE("https://jstnbraaten.users.earthengine.app/view/landsat-timeseries-explorer#run=true;lon=-70.88571617622313;lat=18.618785221728082;from=01-01;to=12-31;index=NBR;rgb=NIR%2FRED%2FGREEN;chipwidth=1;"), "landsat_chips")</f>
        <v>landsat_chips</v>
      </c>
      <c r="J41" s="8" t="str">
        <f>HYPERLINK(CONCATENATE("https://livingatlas.arcgis.com/wayback/#ext=-70.88671617622313,18.619785221728083,-70.88471617622312,18.61778522172808"), "wayback")</f>
        <v>wayback</v>
      </c>
      <c r="K41" s="2" t="s">
        <v>422</v>
      </c>
      <c r="L41" s="5"/>
      <c r="M41" s="5" t="s">
        <v>422</v>
      </c>
      <c r="N41" s="5"/>
    </row>
    <row r="42" spans="1:14" x14ac:dyDescent="0.35">
      <c r="A42" s="2">
        <v>41</v>
      </c>
      <c r="B42" s="2" t="s">
        <v>425</v>
      </c>
      <c r="C42" s="2" t="s">
        <v>473</v>
      </c>
      <c r="D42" s="2" t="s">
        <v>20</v>
      </c>
      <c r="E42" s="2">
        <v>525</v>
      </c>
      <c r="F42" s="2">
        <v>18.386016118943299</v>
      </c>
      <c r="G42" s="2">
        <v>-72.927907140036979</v>
      </c>
      <c r="H42" s="8" t="str">
        <f>HYPERLINK(CONCATENATE("https://faluhong.users.earthengine.app/view/hispaniola-lc-validation#id=PF41;lat=18.386016118943296;lon=-72.92790714003698;year=2000;bf=40;level=18;"), "landsat_time_series")</f>
        <v>landsat_time_series</v>
      </c>
      <c r="I42" s="8" t="str">
        <f>HYPERLINK(CONCATENATE("https://jstnbraaten.users.earthengine.app/view/landsat-timeseries-explorer#run=true;lon=-72.92790714003698;lat=18.386016118943296;from=01-01;to=12-31;index=NBR;rgb=NIR%2FRED%2FGREEN;chipwidth=1;"), "landsat_chips")</f>
        <v>landsat_chips</v>
      </c>
      <c r="J42" s="8" t="str">
        <f>HYPERLINK(CONCATENATE("https://livingatlas.arcgis.com/wayback/#ext=-72.92890714003698,18.387016118943297,-72.92690714003697,18.385016118943295"), "wayback")</f>
        <v>wayback</v>
      </c>
      <c r="K42" s="2" t="s">
        <v>422</v>
      </c>
      <c r="L42" s="5"/>
      <c r="M42" s="5" t="s">
        <v>422</v>
      </c>
      <c r="N42" s="5"/>
    </row>
    <row r="43" spans="1:14" x14ac:dyDescent="0.35">
      <c r="A43" s="2">
        <v>42</v>
      </c>
      <c r="B43" s="2" t="s">
        <v>425</v>
      </c>
      <c r="C43" s="2" t="s">
        <v>474</v>
      </c>
      <c r="D43" s="2" t="s">
        <v>10</v>
      </c>
      <c r="E43" s="2">
        <v>1204</v>
      </c>
      <c r="F43" s="2">
        <v>19.140931490329979</v>
      </c>
      <c r="G43" s="2">
        <v>-71.017085839226581</v>
      </c>
      <c r="H43" s="8" t="str">
        <f>HYPERLINK(CONCATENATE("https://faluhong.users.earthengine.app/view/hispaniola-lc-validation#id=PF42;lat=19.140931490329976;lon=-71.01708583922658;year=2000;bf=40;level=18;"), "landsat_time_series")</f>
        <v>landsat_time_series</v>
      </c>
      <c r="I43" s="8" t="str">
        <f>HYPERLINK(CONCATENATE("https://jstnbraaten.users.earthengine.app/view/landsat-timeseries-explorer#run=true;lon=-71.01708583922658;lat=19.140931490329976;from=01-01;to=12-31;index=NBR;rgb=NIR%2FRED%2FGREEN;chipwidth=1;"), "landsat_chips")</f>
        <v>landsat_chips</v>
      </c>
      <c r="J43" s="8" t="str">
        <f>HYPERLINK(CONCATENATE("https://livingatlas.arcgis.com/wayback/#ext=-71.01808583922659,19.141931490329977,-71.01608583922658,19.139931490329975"), "wayback")</f>
        <v>wayback</v>
      </c>
      <c r="K43" s="2" t="s">
        <v>418</v>
      </c>
      <c r="L43" s="5"/>
      <c r="M43" s="5" t="s">
        <v>418</v>
      </c>
      <c r="N43" s="5" t="s">
        <v>420</v>
      </c>
    </row>
    <row r="44" spans="1:14" x14ac:dyDescent="0.35">
      <c r="A44" s="2">
        <v>43</v>
      </c>
      <c r="B44" s="2" t="s">
        <v>425</v>
      </c>
      <c r="C44" s="2" t="s">
        <v>475</v>
      </c>
      <c r="D44" s="2" t="s">
        <v>10</v>
      </c>
      <c r="E44" s="2">
        <v>1648</v>
      </c>
      <c r="F44" s="2">
        <v>18.16494485588915</v>
      </c>
      <c r="G44" s="2">
        <v>-71.444447254647514</v>
      </c>
      <c r="H44" s="8" t="str">
        <f>HYPERLINK(CONCATENATE("https://faluhong.users.earthengine.app/view/hispaniola-lc-validation#id=PF43;lat=18.164944855889146;lon=-71.44444725464751;year=2000;bf=40;level=18;"), "landsat_time_series")</f>
        <v>landsat_time_series</v>
      </c>
      <c r="I44" s="8" t="str">
        <f>HYPERLINK(CONCATENATE("https://jstnbraaten.users.earthengine.app/view/landsat-timeseries-explorer#run=true;lon=-71.44444725464751;lat=18.164944855889146;from=01-01;to=12-31;index=NBR;rgb=NIR%2FRED%2FGREEN;chipwidth=1;"), "landsat_chips")</f>
        <v>landsat_chips</v>
      </c>
      <c r="J44" s="8" t="str">
        <f>HYPERLINK(CONCATENATE("https://livingatlas.arcgis.com/wayback/#ext=-71.44544725464752,18.165944855889148,-71.44344725464751,18.163944855889145"), "wayback")</f>
        <v>wayback</v>
      </c>
      <c r="K44" s="2" t="s">
        <v>418</v>
      </c>
      <c r="L44" s="5"/>
      <c r="M44" s="5" t="s">
        <v>422</v>
      </c>
      <c r="N44" s="5"/>
    </row>
    <row r="45" spans="1:14" x14ac:dyDescent="0.35">
      <c r="A45" s="2">
        <v>44</v>
      </c>
      <c r="B45" s="2" t="s">
        <v>425</v>
      </c>
      <c r="C45" s="2" t="s">
        <v>476</v>
      </c>
      <c r="D45" s="2" t="s">
        <v>10</v>
      </c>
      <c r="E45" s="2">
        <v>631</v>
      </c>
      <c r="F45" s="2">
        <v>19.323306891043849</v>
      </c>
      <c r="G45" s="2">
        <v>-71.334880876543238</v>
      </c>
      <c r="H45" s="8" t="str">
        <f>HYPERLINK(CONCATENATE("https://faluhong.users.earthengine.app/view/hispaniola-lc-validation#id=PF44;lat=19.32330689104385;lon=-71.33488087654324;year=2000;bf=40;level=18;"), "landsat_time_series")</f>
        <v>landsat_time_series</v>
      </c>
      <c r="I45" s="8" t="str">
        <f>HYPERLINK(CONCATENATE("https://jstnbraaten.users.earthengine.app/view/landsat-timeseries-explorer#run=true;lon=-71.33488087654324;lat=19.32330689104385;from=01-01;to=12-31;index=NBR;rgb=NIR%2FRED%2FGREEN;chipwidth=1;"), "landsat_chips")</f>
        <v>landsat_chips</v>
      </c>
      <c r="J45" s="8" t="str">
        <f>HYPERLINK(CONCATENATE("https://livingatlas.arcgis.com/wayback/#ext=-71.33588087654324,19.32430689104385,-71.33388087654323,19.322306891043848"), "wayback")</f>
        <v>wayback</v>
      </c>
      <c r="K45" s="2" t="s">
        <v>418</v>
      </c>
      <c r="L45" s="5"/>
      <c r="M45" s="5" t="s">
        <v>418</v>
      </c>
      <c r="N45" s="5" t="s">
        <v>922</v>
      </c>
    </row>
    <row r="46" spans="1:14" x14ac:dyDescent="0.35">
      <c r="A46" s="2">
        <v>45</v>
      </c>
      <c r="B46" s="2" t="s">
        <v>425</v>
      </c>
      <c r="C46" s="2" t="s">
        <v>477</v>
      </c>
      <c r="D46" s="2" t="s">
        <v>10</v>
      </c>
      <c r="E46" s="2">
        <v>59</v>
      </c>
      <c r="F46" s="2">
        <v>18.55367588073106</v>
      </c>
      <c r="G46" s="2">
        <v>-68.553446574209161</v>
      </c>
      <c r="H46" s="8" t="str">
        <f>HYPERLINK(CONCATENATE("https://faluhong.users.earthengine.app/view/hispaniola-lc-validation#id=PF45;lat=18.553675880731056;lon=-68.55344657420916;year=2000;bf=40;level=18;"), "landsat_time_series")</f>
        <v>landsat_time_series</v>
      </c>
      <c r="I46" s="8" t="str">
        <f>HYPERLINK(CONCATENATE("https://jstnbraaten.users.earthengine.app/view/landsat-timeseries-explorer#run=true;lon=-68.55344657420916;lat=18.553675880731056;from=01-01;to=12-31;index=NBR;rgb=NIR%2FRED%2FGREEN;chipwidth=1;"), "landsat_chips")</f>
        <v>landsat_chips</v>
      </c>
      <c r="J46" s="8" t="str">
        <f>HYPERLINK(CONCATENATE("https://livingatlas.arcgis.com/wayback/#ext=-68.55444657420917,18.554675880731057,-68.55244657420916,18.552675880731055"), "wayback")</f>
        <v>wayback</v>
      </c>
      <c r="K46" s="2" t="s">
        <v>422</v>
      </c>
      <c r="L46" s="5"/>
      <c r="M46" s="5" t="s">
        <v>422</v>
      </c>
      <c r="N46" s="5"/>
    </row>
    <row r="47" spans="1:14" x14ac:dyDescent="0.35">
      <c r="A47" s="2">
        <v>46</v>
      </c>
      <c r="B47" s="2" t="s">
        <v>425</v>
      </c>
      <c r="C47" s="2" t="s">
        <v>478</v>
      </c>
      <c r="D47" s="2" t="s">
        <v>10</v>
      </c>
      <c r="E47" s="2">
        <v>784</v>
      </c>
      <c r="F47" s="2">
        <v>19.289567221603338</v>
      </c>
      <c r="G47" s="2">
        <v>-71.172607288470786</v>
      </c>
      <c r="H47" s="8" t="str">
        <f>HYPERLINK(CONCATENATE("https://faluhong.users.earthengine.app/view/hispaniola-lc-validation#id=PF46;lat=19.28956722160334;lon=-71.17260728847079;year=2000;bf=40;level=18;"), "landsat_time_series")</f>
        <v>landsat_time_series</v>
      </c>
      <c r="I47" s="8" t="str">
        <f>HYPERLINK(CONCATENATE("https://jstnbraaten.users.earthengine.app/view/landsat-timeseries-explorer#run=true;lon=-71.17260728847079;lat=19.28956722160334;from=01-01;to=12-31;index=NBR;rgb=NIR%2FRED%2FGREEN;chipwidth=1;"), "landsat_chips")</f>
        <v>landsat_chips</v>
      </c>
      <c r="J47" s="8" t="str">
        <f>HYPERLINK(CONCATENATE("https://livingatlas.arcgis.com/wayback/#ext=-71.17360728847079,19.29056722160334,-71.17160728847078,19.288567221603337"), "wayback")</f>
        <v>wayback</v>
      </c>
      <c r="K47" s="2" t="s">
        <v>418</v>
      </c>
      <c r="L47" s="5"/>
      <c r="M47" s="5" t="s">
        <v>418</v>
      </c>
      <c r="N47" s="5" t="s">
        <v>922</v>
      </c>
    </row>
    <row r="48" spans="1:14" x14ac:dyDescent="0.35">
      <c r="A48" s="2">
        <v>47</v>
      </c>
      <c r="B48" s="2" t="s">
        <v>425</v>
      </c>
      <c r="C48" s="2" t="s">
        <v>479</v>
      </c>
      <c r="D48" s="2" t="s">
        <v>10</v>
      </c>
      <c r="E48" s="2">
        <v>535</v>
      </c>
      <c r="F48" s="2">
        <v>19.319889936490519</v>
      </c>
      <c r="G48" s="2">
        <v>-70.935902923230557</v>
      </c>
      <c r="H48" s="8" t="str">
        <f>HYPERLINK(CONCATENATE("https://faluhong.users.earthengine.app/view/hispaniola-lc-validation#id=PF47;lat=19.319889936490515;lon=-70.93590292323056;year=2000;bf=40;level=18;"), "landsat_time_series")</f>
        <v>landsat_time_series</v>
      </c>
      <c r="I48" s="8" t="str">
        <f>HYPERLINK(CONCATENATE("https://jstnbraaten.users.earthengine.app/view/landsat-timeseries-explorer#run=true;lon=-70.93590292323056;lat=19.319889936490515;from=01-01;to=12-31;index=NBR;rgb=NIR%2FRED%2FGREEN;chipwidth=1;"), "landsat_chips")</f>
        <v>landsat_chips</v>
      </c>
      <c r="J48" s="8" t="str">
        <f>HYPERLINK(CONCATENATE("https://livingatlas.arcgis.com/wayback/#ext=-70.93690292323056,19.320889936490516,-70.93490292323055,19.318889936490514"), "wayback")</f>
        <v>wayback</v>
      </c>
      <c r="K48" s="2" t="s">
        <v>422</v>
      </c>
      <c r="L48" s="5"/>
      <c r="M48" s="5" t="s">
        <v>422</v>
      </c>
      <c r="N48" s="5"/>
    </row>
    <row r="49" spans="1:14" x14ac:dyDescent="0.35">
      <c r="A49" s="2">
        <v>48</v>
      </c>
      <c r="B49" s="2" t="s">
        <v>425</v>
      </c>
      <c r="C49" s="2" t="s">
        <v>480</v>
      </c>
      <c r="D49" s="2" t="s">
        <v>10</v>
      </c>
      <c r="E49" s="2">
        <v>628</v>
      </c>
      <c r="F49" s="2">
        <v>18.809769679182789</v>
      </c>
      <c r="G49" s="2">
        <v>-70.390132456865288</v>
      </c>
      <c r="H49" s="8" t="str">
        <f>HYPERLINK(CONCATENATE("https://faluhong.users.earthengine.app/view/hispaniola-lc-validation#id=PF48;lat=18.80976967918279;lon=-70.39013245686529;year=2000;bf=40;level=18;"), "landsat_time_series")</f>
        <v>landsat_time_series</v>
      </c>
      <c r="I49" s="8" t="str">
        <f>HYPERLINK(CONCATENATE("https://jstnbraaten.users.earthengine.app/view/landsat-timeseries-explorer#run=true;lon=-70.39013245686529;lat=18.80976967918279;from=01-01;to=12-31;index=NBR;rgb=NIR%2FRED%2FGREEN;chipwidth=1;"), "landsat_chips")</f>
        <v>landsat_chips</v>
      </c>
      <c r="J49" s="8" t="str">
        <f>HYPERLINK(CONCATENATE("https://livingatlas.arcgis.com/wayback/#ext=-70.3911324568653,18.81076967918279,-70.38913245686528,18.808769679182788"), "wayback")</f>
        <v>wayback</v>
      </c>
      <c r="K49" s="2" t="s">
        <v>422</v>
      </c>
      <c r="L49" s="5"/>
      <c r="M49" s="5" t="s">
        <v>422</v>
      </c>
      <c r="N49" s="5"/>
    </row>
    <row r="50" spans="1:14" x14ac:dyDescent="0.35">
      <c r="A50" s="2">
        <v>49</v>
      </c>
      <c r="B50" s="2" t="s">
        <v>425</v>
      </c>
      <c r="C50" s="2" t="s">
        <v>481</v>
      </c>
      <c r="D50" s="2" t="s">
        <v>10</v>
      </c>
      <c r="E50" s="2">
        <v>82</v>
      </c>
      <c r="F50" s="2">
        <v>18.575176942512549</v>
      </c>
      <c r="G50" s="2">
        <v>-69.005652916125229</v>
      </c>
      <c r="H50" s="8" t="str">
        <f>HYPERLINK(CONCATENATE("https://faluhong.users.earthengine.app/view/hispaniola-lc-validation#id=PF49;lat=18.575176942512552;lon=-69.00565291612523;year=2000;bf=40;level=18;"), "landsat_time_series")</f>
        <v>landsat_time_series</v>
      </c>
      <c r="I50" s="8" t="str">
        <f>HYPERLINK(CONCATENATE("https://jstnbraaten.users.earthengine.app/view/landsat-timeseries-explorer#run=true;lon=-69.00565291612523;lat=18.575176942512552;from=01-01;to=12-31;index=NBR;rgb=NIR%2FRED%2FGREEN;chipwidth=1;"), "landsat_chips")</f>
        <v>landsat_chips</v>
      </c>
      <c r="J50" s="8" t="str">
        <f>HYPERLINK(CONCATENATE("https://livingatlas.arcgis.com/wayback/#ext=-69.00665291612523,18.576176942512554,-69.00465291612522,18.57417694251255"), "wayback")</f>
        <v>wayback</v>
      </c>
      <c r="K50" s="2" t="s">
        <v>422</v>
      </c>
      <c r="L50" s="5"/>
      <c r="M50" s="5" t="s">
        <v>422</v>
      </c>
      <c r="N50" s="5"/>
    </row>
    <row r="51" spans="1:14" x14ac:dyDescent="0.35">
      <c r="A51" s="2">
        <v>50</v>
      </c>
      <c r="B51" s="2" t="s">
        <v>425</v>
      </c>
      <c r="C51" s="2" t="s">
        <v>482</v>
      </c>
      <c r="D51" s="2" t="s">
        <v>20</v>
      </c>
      <c r="E51" s="2">
        <v>111</v>
      </c>
      <c r="F51" s="2">
        <v>19.088142830394879</v>
      </c>
      <c r="G51" s="2">
        <v>-72.711107019835453</v>
      </c>
      <c r="H51" s="8" t="str">
        <f>HYPERLINK(CONCATENATE("https://faluhong.users.earthengine.app/view/hispaniola-lc-validation#id=PF50;lat=19.088142830394883;lon=-72.71110701983545;year=2000;bf=40;level=18;"), "landsat_time_series")</f>
        <v>landsat_time_series</v>
      </c>
      <c r="I51" s="8" t="str">
        <f>HYPERLINK(CONCATENATE("https://jstnbraaten.users.earthengine.app/view/landsat-timeseries-explorer#run=true;lon=-72.71110701983545;lat=19.088142830394883;from=01-01;to=12-31;index=NBR;rgb=NIR%2FRED%2FGREEN;chipwidth=1;"), "landsat_chips")</f>
        <v>landsat_chips</v>
      </c>
      <c r="J51" s="8" t="str">
        <f>HYPERLINK(CONCATENATE("https://livingatlas.arcgis.com/wayback/#ext=-72.71210701983546,19.089142830394884,-72.71010701983545,19.087142830394882"), "wayback")</f>
        <v>wayback</v>
      </c>
      <c r="K51" s="2" t="s">
        <v>422</v>
      </c>
      <c r="L51" s="5"/>
      <c r="M51" s="5" t="s">
        <v>422</v>
      </c>
      <c r="N51" s="5"/>
    </row>
    <row r="52" spans="1:14" x14ac:dyDescent="0.35">
      <c r="A52" s="2">
        <v>51</v>
      </c>
      <c r="B52" s="2" t="s">
        <v>425</v>
      </c>
      <c r="C52" s="2" t="s">
        <v>483</v>
      </c>
      <c r="D52" s="2" t="s">
        <v>20</v>
      </c>
      <c r="E52" s="2">
        <v>1267</v>
      </c>
      <c r="F52" s="2">
        <v>18.944575034589889</v>
      </c>
      <c r="G52" s="2">
        <v>-72.573907110329884</v>
      </c>
      <c r="H52" s="8" t="str">
        <f>HYPERLINK(CONCATENATE("https://faluhong.users.earthengine.app/view/hispaniola-lc-validation#id=PF51;lat=18.94457503458989;lon=-72.57390711032988;year=2000;bf=40;level=18;"), "landsat_time_series")</f>
        <v>landsat_time_series</v>
      </c>
      <c r="I52" s="8" t="str">
        <f>HYPERLINK(CONCATENATE("https://jstnbraaten.users.earthengine.app/view/landsat-timeseries-explorer#run=true;lon=-72.57390711032988;lat=18.94457503458989;from=01-01;to=12-31;index=NBR;rgb=NIR%2FRED%2FGREEN;chipwidth=1;"), "landsat_chips")</f>
        <v>landsat_chips</v>
      </c>
      <c r="J52" s="8" t="str">
        <f>HYPERLINK(CONCATENATE("https://livingatlas.arcgis.com/wayback/#ext=-72.57490711032989,18.94557503458989,-72.57290711032988,18.943575034589887"), "wayback")</f>
        <v>wayback</v>
      </c>
      <c r="K52" s="2" t="s">
        <v>422</v>
      </c>
      <c r="L52" s="5"/>
      <c r="M52" s="5" t="s">
        <v>422</v>
      </c>
      <c r="N52" s="5"/>
    </row>
    <row r="53" spans="1:14" x14ac:dyDescent="0.35">
      <c r="A53" s="2">
        <v>52</v>
      </c>
      <c r="B53" s="2" t="s">
        <v>425</v>
      </c>
      <c r="C53" s="2" t="s">
        <v>484</v>
      </c>
      <c r="D53" s="2" t="s">
        <v>20</v>
      </c>
      <c r="E53" s="2">
        <v>527</v>
      </c>
      <c r="F53" s="2">
        <v>18.46120389484927</v>
      </c>
      <c r="G53" s="2">
        <v>-74.164143178202252</v>
      </c>
      <c r="H53" s="8" t="str">
        <f>HYPERLINK(CONCATENATE("https://faluhong.users.earthengine.app/view/hispaniola-lc-validation#id=PF52;lat=18.46120389484927;lon=-74.16414317820225;year=2000;bf=40;level=18;"), "landsat_time_series")</f>
        <v>landsat_time_series</v>
      </c>
      <c r="I53" s="8" t="str">
        <f>HYPERLINK(CONCATENATE("https://jstnbraaten.users.earthengine.app/view/landsat-timeseries-explorer#run=true;lon=-74.16414317820225;lat=18.46120389484927;from=01-01;to=12-31;index=NBR;rgb=NIR%2FRED%2FGREEN;chipwidth=1;"), "landsat_chips")</f>
        <v>landsat_chips</v>
      </c>
      <c r="J53" s="8" t="str">
        <f>HYPERLINK(CONCATENATE("https://livingatlas.arcgis.com/wayback/#ext=-74.16514317820226,18.46220389484927,-74.16314317820225,18.46020389484927"), "wayback")</f>
        <v>wayback</v>
      </c>
      <c r="K53" s="2" t="s">
        <v>422</v>
      </c>
      <c r="L53" s="5"/>
      <c r="M53" s="5" t="s">
        <v>422</v>
      </c>
      <c r="N53" s="5"/>
    </row>
    <row r="54" spans="1:14" x14ac:dyDescent="0.35">
      <c r="A54" s="2">
        <v>53</v>
      </c>
      <c r="B54" s="2" t="s">
        <v>425</v>
      </c>
      <c r="C54" s="2" t="s">
        <v>485</v>
      </c>
      <c r="D54" s="2" t="s">
        <v>10</v>
      </c>
      <c r="E54" s="2">
        <v>1269</v>
      </c>
      <c r="F54" s="2">
        <v>18.490869746395319</v>
      </c>
      <c r="G54" s="2">
        <v>-70.403789256170413</v>
      </c>
      <c r="H54" s="8" t="str">
        <f>HYPERLINK(CONCATENATE("https://faluhong.users.earthengine.app/view/hispaniola-lc-validation#id=PF53;lat=18.490869746395322;lon=-70.40378925617041;year=2000;bf=40;level=18;"), "landsat_time_series")</f>
        <v>landsat_time_series</v>
      </c>
      <c r="I54" s="8" t="str">
        <f>HYPERLINK(CONCATENATE("https://jstnbraaten.users.earthengine.app/view/landsat-timeseries-explorer#run=true;lon=-70.40378925617041;lat=18.490869746395322;from=01-01;to=12-31;index=NBR;rgb=NIR%2FRED%2FGREEN;chipwidth=1;"), "landsat_chips")</f>
        <v>landsat_chips</v>
      </c>
      <c r="J54" s="8" t="str">
        <f>HYPERLINK(CONCATENATE("https://livingatlas.arcgis.com/wayback/#ext=-70.40478925617042,18.491869746395324,-70.40278925617041,18.48986974639532"), "wayback")</f>
        <v>wayback</v>
      </c>
      <c r="K54" s="2" t="s">
        <v>422</v>
      </c>
      <c r="L54" s="5"/>
      <c r="M54" s="5" t="s">
        <v>422</v>
      </c>
      <c r="N54" s="5"/>
    </row>
    <row r="55" spans="1:14" x14ac:dyDescent="0.35">
      <c r="A55" s="2">
        <v>54</v>
      </c>
      <c r="B55" s="2" t="s">
        <v>425</v>
      </c>
      <c r="C55" s="2" t="s">
        <v>486</v>
      </c>
      <c r="D55" s="2" t="s">
        <v>10</v>
      </c>
      <c r="E55" s="2">
        <v>105</v>
      </c>
      <c r="F55" s="2">
        <v>17.707862121470381</v>
      </c>
      <c r="G55" s="2">
        <v>-71.419786275177174</v>
      </c>
      <c r="H55" s="8" t="str">
        <f>HYPERLINK(CONCATENATE("https://faluhong.users.earthengine.app/view/hispaniola-lc-validation#id=PF54;lat=17.707862121470377;lon=-71.41978627517717;year=2000;bf=40;level=18;"), "landsat_time_series")</f>
        <v>landsat_time_series</v>
      </c>
      <c r="I55" s="8" t="str">
        <f>HYPERLINK(CONCATENATE("https://jstnbraaten.users.earthengine.app/view/landsat-timeseries-explorer#run=true;lon=-71.41978627517717;lat=17.707862121470377;from=01-01;to=12-31;index=NBR;rgb=NIR%2FRED%2FGREEN;chipwidth=1;"), "landsat_chips")</f>
        <v>landsat_chips</v>
      </c>
      <c r="J55" s="8" t="str">
        <f>HYPERLINK(CONCATENATE("https://livingatlas.arcgis.com/wayback/#ext=-71.42078627517718,17.70886212147038,-71.41878627517717,17.706862121470376"), "wayback")</f>
        <v>wayback</v>
      </c>
      <c r="K55" s="2" t="s">
        <v>422</v>
      </c>
      <c r="L55" s="5"/>
      <c r="M55" s="5" t="s">
        <v>422</v>
      </c>
      <c r="N55" s="5"/>
    </row>
    <row r="56" spans="1:14" x14ac:dyDescent="0.35">
      <c r="A56" s="2">
        <v>55</v>
      </c>
      <c r="B56" s="2" t="s">
        <v>425</v>
      </c>
      <c r="C56" s="2" t="s">
        <v>487</v>
      </c>
      <c r="D56" s="2" t="s">
        <v>10</v>
      </c>
      <c r="E56" s="2">
        <v>1090</v>
      </c>
      <c r="F56" s="2">
        <v>18.969452650920299</v>
      </c>
      <c r="G56" s="2">
        <v>-71.224094529001562</v>
      </c>
      <c r="H56" s="8" t="str">
        <f>HYPERLINK(CONCATENATE("https://faluhong.users.earthengine.app/view/hispaniola-lc-validation#id=PF55;lat=18.969452650920303;lon=-71.22409452900156;year=2000;bf=40;level=18;"), "landsat_time_series")</f>
        <v>landsat_time_series</v>
      </c>
      <c r="I56" s="8" t="str">
        <f>HYPERLINK(CONCATENATE("https://jstnbraaten.users.earthengine.app/view/landsat-timeseries-explorer#run=true;lon=-71.22409452900156;lat=18.969452650920303;from=01-01;to=12-31;index=NBR;rgb=NIR%2FRED%2FGREEN;chipwidth=1;"), "landsat_chips")</f>
        <v>landsat_chips</v>
      </c>
      <c r="J56" s="8" t="str">
        <f>HYPERLINK(CONCATENATE("https://livingatlas.arcgis.com/wayback/#ext=-71.22509452900157,18.970452650920304,-71.22309452900156,18.9684526509203"), "wayback")</f>
        <v>wayback</v>
      </c>
      <c r="K56" s="2" t="s">
        <v>422</v>
      </c>
      <c r="L56" s="5"/>
      <c r="M56" s="5" t="s">
        <v>422</v>
      </c>
      <c r="N56" s="5"/>
    </row>
    <row r="57" spans="1:14" x14ac:dyDescent="0.35">
      <c r="A57" s="2">
        <v>56</v>
      </c>
      <c r="B57" s="2" t="s">
        <v>425</v>
      </c>
      <c r="C57" s="2" t="s">
        <v>488</v>
      </c>
      <c r="D57" s="2" t="s">
        <v>20</v>
      </c>
      <c r="E57" s="2">
        <v>134</v>
      </c>
      <c r="F57" s="2">
        <v>19.088112267490619</v>
      </c>
      <c r="G57" s="2">
        <v>-72.642967433117335</v>
      </c>
      <c r="H57" s="8" t="str">
        <f>HYPERLINK(CONCATENATE("https://faluhong.users.earthengine.app/view/hispaniola-lc-validation#id=PF56;lat=19.08811226749062;lon=-72.64296743311733;year=2000;bf=40;level=18;"), "landsat_time_series")</f>
        <v>landsat_time_series</v>
      </c>
      <c r="I57" s="8" t="str">
        <f>HYPERLINK(CONCATENATE("https://jstnbraaten.users.earthengine.app/view/landsat-timeseries-explorer#run=true;lon=-72.64296743311733;lat=19.08811226749062;from=01-01;to=12-31;index=NBR;rgb=NIR%2FRED%2FGREEN;chipwidth=1;"), "landsat_chips")</f>
        <v>landsat_chips</v>
      </c>
      <c r="J57" s="8" t="str">
        <f>HYPERLINK(CONCATENATE("https://livingatlas.arcgis.com/wayback/#ext=-72.64396743311734,19.08911226749062,-72.64196743311733,19.087112267490618"), "wayback")</f>
        <v>wayback</v>
      </c>
      <c r="K57" s="2" t="s">
        <v>422</v>
      </c>
      <c r="L57" s="5"/>
      <c r="M57" s="5" t="s">
        <v>422</v>
      </c>
      <c r="N57" s="5"/>
    </row>
    <row r="58" spans="1:14" x14ac:dyDescent="0.35">
      <c r="A58" s="2">
        <v>57</v>
      </c>
      <c r="B58" s="2" t="s">
        <v>425</v>
      </c>
      <c r="C58" s="2" t="s">
        <v>489</v>
      </c>
      <c r="D58" s="2" t="s">
        <v>10</v>
      </c>
      <c r="E58" s="2">
        <v>71</v>
      </c>
      <c r="F58" s="2">
        <v>18.550345262382589</v>
      </c>
      <c r="G58" s="2">
        <v>-68.733526908147795</v>
      </c>
      <c r="H58" s="8" t="str">
        <f>HYPERLINK(CONCATENATE("https://faluhong.users.earthengine.app/view/hispaniola-lc-validation#id=PF57;lat=18.550345262382585;lon=-68.7335269081478;year=2000;bf=40;level=18;"), "landsat_time_series")</f>
        <v>landsat_time_series</v>
      </c>
      <c r="I58" s="8" t="str">
        <f>HYPERLINK(CONCATENATE("https://jstnbraaten.users.earthengine.app/view/landsat-timeseries-explorer#run=true;lon=-68.7335269081478;lat=18.550345262382585;from=01-01;to=12-31;index=NBR;rgb=NIR%2FRED%2FGREEN;chipwidth=1;"), "landsat_chips")</f>
        <v>landsat_chips</v>
      </c>
      <c r="J58" s="8" t="str">
        <f>HYPERLINK(CONCATENATE("https://livingatlas.arcgis.com/wayback/#ext=-68.7345269081478,18.551345262382586,-68.73252690814779,18.549345262382584"), "wayback")</f>
        <v>wayback</v>
      </c>
      <c r="K58" s="2" t="s">
        <v>422</v>
      </c>
      <c r="L58" s="5"/>
      <c r="M58" s="5" t="s">
        <v>422</v>
      </c>
      <c r="N58" s="5"/>
    </row>
    <row r="59" spans="1:14" x14ac:dyDescent="0.35">
      <c r="A59" s="2">
        <v>58</v>
      </c>
      <c r="B59" s="2" t="s">
        <v>425</v>
      </c>
      <c r="C59" s="2" t="s">
        <v>490</v>
      </c>
      <c r="D59" s="2" t="s">
        <v>20</v>
      </c>
      <c r="E59" s="2">
        <v>53</v>
      </c>
      <c r="F59" s="2">
        <v>18.24005612959817</v>
      </c>
      <c r="G59" s="2">
        <v>-72.509852475712805</v>
      </c>
      <c r="H59" s="8" t="str">
        <f>HYPERLINK(CONCATENATE("https://faluhong.users.earthengine.app/view/hispaniola-lc-validation#id=PF58;lat=18.24005612959817;lon=-72.5098524757128;year=2000;bf=40;level=18;"), "landsat_time_series")</f>
        <v>landsat_time_series</v>
      </c>
      <c r="I59" s="8" t="str">
        <f>HYPERLINK(CONCATENATE("https://jstnbraaten.users.earthengine.app/view/landsat-timeseries-explorer#run=true;lon=-72.5098524757128;lat=18.24005612959817;from=01-01;to=12-31;index=NBR;rgb=NIR%2FRED%2FGREEN;chipwidth=1;"), "landsat_chips")</f>
        <v>landsat_chips</v>
      </c>
      <c r="J59" s="8" t="str">
        <f>HYPERLINK(CONCATENATE("https://livingatlas.arcgis.com/wayback/#ext=-72.51085247571281,18.24105612959817,-72.5088524757128,18.23905612959817"), "wayback")</f>
        <v>wayback</v>
      </c>
      <c r="K59" s="2" t="s">
        <v>422</v>
      </c>
      <c r="L59" s="5"/>
      <c r="M59" s="5" t="s">
        <v>422</v>
      </c>
      <c r="N59" s="5"/>
    </row>
    <row r="60" spans="1:14" x14ac:dyDescent="0.35">
      <c r="A60" s="2">
        <v>59</v>
      </c>
      <c r="B60" s="2" t="s">
        <v>425</v>
      </c>
      <c r="C60" s="2" t="s">
        <v>491</v>
      </c>
      <c r="D60" s="2" t="s">
        <v>20</v>
      </c>
      <c r="E60" s="2">
        <v>304</v>
      </c>
      <c r="F60" s="2">
        <v>19.65105367334619</v>
      </c>
      <c r="G60" s="2">
        <v>-72.543006985312275</v>
      </c>
      <c r="H60" s="8" t="str">
        <f>HYPERLINK(CONCATENATE("https://faluhong.users.earthengine.app/view/hispaniola-lc-validation#id=PF59;lat=19.651053673346187;lon=-72.54300698531227;year=2000;bf=40;level=18;"), "landsat_time_series")</f>
        <v>landsat_time_series</v>
      </c>
      <c r="I60" s="8" t="str">
        <f>HYPERLINK(CONCATENATE("https://jstnbraaten.users.earthengine.app/view/landsat-timeseries-explorer#run=true;lon=-72.54300698531227;lat=19.651053673346187;from=01-01;to=12-31;index=NBR;rgb=NIR%2FRED%2FGREEN;chipwidth=1;"), "landsat_chips")</f>
        <v>landsat_chips</v>
      </c>
      <c r="J60" s="8" t="str">
        <f>HYPERLINK(CONCATENATE("https://livingatlas.arcgis.com/wayback/#ext=-72.54400698531228,19.652053673346188,-72.54200698531227,19.650053673346186"), "wayback")</f>
        <v>wayback</v>
      </c>
      <c r="K60" s="2" t="s">
        <v>422</v>
      </c>
      <c r="L60" s="5"/>
      <c r="M60" s="5" t="s">
        <v>422</v>
      </c>
      <c r="N60" s="5"/>
    </row>
    <row r="61" spans="1:14" x14ac:dyDescent="0.35">
      <c r="A61" s="2">
        <v>60</v>
      </c>
      <c r="B61" s="2" t="s">
        <v>425</v>
      </c>
      <c r="C61" s="2" t="s">
        <v>492</v>
      </c>
      <c r="D61" s="2" t="s">
        <v>10</v>
      </c>
      <c r="E61" s="2">
        <v>153</v>
      </c>
      <c r="F61" s="2">
        <v>19.455549360218409</v>
      </c>
      <c r="G61" s="2">
        <v>-71.368591502498404</v>
      </c>
      <c r="H61" s="8" t="str">
        <f>HYPERLINK(CONCATENATE("https://faluhong.users.earthengine.app/view/hispaniola-lc-validation#id=PF60;lat=19.45554936021841;lon=-71.3685915024984;year=2000;bf=40;level=18;"), "landsat_time_series")</f>
        <v>landsat_time_series</v>
      </c>
      <c r="I61" s="8" t="str">
        <f>HYPERLINK(CONCATENATE("https://jstnbraaten.users.earthengine.app/view/landsat-timeseries-explorer#run=true;lon=-71.3685915024984;lat=19.45554936021841;from=01-01;to=12-31;index=NBR;rgb=NIR%2FRED%2FGREEN;chipwidth=1;"), "landsat_chips")</f>
        <v>landsat_chips</v>
      </c>
      <c r="J61" s="8" t="str">
        <f>HYPERLINK(CONCATENATE("https://livingatlas.arcgis.com/wayback/#ext=-71.36959150249841,19.45654936021841,-71.3675915024984,19.454549360218408"), "wayback")</f>
        <v>wayback</v>
      </c>
      <c r="K61" s="2" t="s">
        <v>422</v>
      </c>
      <c r="L61" s="5"/>
      <c r="M61" s="5" t="s">
        <v>422</v>
      </c>
      <c r="N61" s="5"/>
    </row>
    <row r="62" spans="1:14" x14ac:dyDescent="0.35">
      <c r="A62" s="2">
        <v>61</v>
      </c>
      <c r="B62" s="2" t="s">
        <v>425</v>
      </c>
      <c r="C62" s="2" t="s">
        <v>493</v>
      </c>
      <c r="D62" s="2" t="s">
        <v>10</v>
      </c>
      <c r="E62" s="2">
        <v>443</v>
      </c>
      <c r="F62" s="2">
        <v>18.563745158313669</v>
      </c>
      <c r="G62" s="2">
        <v>-71.028766016668357</v>
      </c>
      <c r="H62" s="8" t="str">
        <f>HYPERLINK(CONCATENATE("https://faluhong.users.earthengine.app/view/hispaniola-lc-validation#id=PF61;lat=18.563745158313665;lon=-71.02876601666836;year=2000;bf=40;level=18;"), "landsat_time_series")</f>
        <v>landsat_time_series</v>
      </c>
      <c r="I62" s="8" t="str">
        <f>HYPERLINK(CONCATENATE("https://jstnbraaten.users.earthengine.app/view/landsat-timeseries-explorer#run=true;lon=-71.02876601666836;lat=18.563745158313665;from=01-01;to=12-31;index=NBR;rgb=NIR%2FRED%2FGREEN;chipwidth=1;"), "landsat_chips")</f>
        <v>landsat_chips</v>
      </c>
      <c r="J62" s="8" t="str">
        <f>HYPERLINK(CONCATENATE("https://livingatlas.arcgis.com/wayback/#ext=-71.02976601666836,18.564745158313666,-71.02776601666835,18.562745158313664"), "wayback")</f>
        <v>wayback</v>
      </c>
      <c r="K62" s="2" t="s">
        <v>422</v>
      </c>
      <c r="L62" s="5"/>
      <c r="M62" s="5" t="s">
        <v>422</v>
      </c>
      <c r="N62" s="5"/>
    </row>
    <row r="63" spans="1:14" x14ac:dyDescent="0.35">
      <c r="A63" s="2">
        <v>62</v>
      </c>
      <c r="B63" s="2" t="s">
        <v>425</v>
      </c>
      <c r="C63" s="2" t="s">
        <v>494</v>
      </c>
      <c r="D63" s="2" t="s">
        <v>10</v>
      </c>
      <c r="E63" s="2">
        <v>230</v>
      </c>
      <c r="F63" s="2">
        <v>19.469788090642229</v>
      </c>
      <c r="G63" s="2">
        <v>-71.236386747587787</v>
      </c>
      <c r="H63" s="8" t="str">
        <f>HYPERLINK(CONCATENATE("https://faluhong.users.earthengine.app/view/hispaniola-lc-validation#id=PF62;lat=19.469788090642226;lon=-71.23638674758779;year=2000;bf=40;level=18;"), "landsat_time_series")</f>
        <v>landsat_time_series</v>
      </c>
      <c r="I63" s="8" t="str">
        <f>HYPERLINK(CONCATENATE("https://jstnbraaten.users.earthengine.app/view/landsat-timeseries-explorer#run=true;lon=-71.23638674758779;lat=19.469788090642226;from=01-01;to=12-31;index=NBR;rgb=NIR%2FRED%2FGREEN;chipwidth=1;"), "landsat_chips")</f>
        <v>landsat_chips</v>
      </c>
      <c r="J63" s="8" t="str">
        <f>HYPERLINK(CONCATENATE("https://livingatlas.arcgis.com/wayback/#ext=-71.23738674758779,19.470788090642227,-71.23538674758778,19.468788090642224"), "wayback")</f>
        <v>wayback</v>
      </c>
      <c r="K63" s="2" t="s">
        <v>422</v>
      </c>
      <c r="L63" s="5"/>
      <c r="M63" s="5" t="s">
        <v>422</v>
      </c>
      <c r="N63" s="5"/>
    </row>
    <row r="64" spans="1:14" x14ac:dyDescent="0.35">
      <c r="A64" s="2">
        <v>63</v>
      </c>
      <c r="B64" s="2" t="s">
        <v>425</v>
      </c>
      <c r="C64" s="2" t="s">
        <v>495</v>
      </c>
      <c r="D64" s="2" t="s">
        <v>10</v>
      </c>
      <c r="E64" s="2">
        <v>745</v>
      </c>
      <c r="F64" s="2">
        <v>18.649590294882461</v>
      </c>
      <c r="G64" s="2">
        <v>-71.360164577304403</v>
      </c>
      <c r="H64" s="8" t="str">
        <f>HYPERLINK(CONCATENATE("https://faluhong.users.earthengine.app/view/hispaniola-lc-validation#id=PF63;lat=18.64959029488246;lon=-71.3601645773044;year=2000;bf=40;level=18;"), "landsat_time_series")</f>
        <v>landsat_time_series</v>
      </c>
      <c r="I64" s="8" t="str">
        <f>HYPERLINK(CONCATENATE("https://jstnbraaten.users.earthengine.app/view/landsat-timeseries-explorer#run=true;lon=-71.3601645773044;lat=18.64959029488246;from=01-01;to=12-31;index=NBR;rgb=NIR%2FRED%2FGREEN;chipwidth=1;"), "landsat_chips")</f>
        <v>landsat_chips</v>
      </c>
      <c r="J64" s="8" t="str">
        <f>HYPERLINK(CONCATENATE("https://livingatlas.arcgis.com/wayback/#ext=-71.36116457730441,18.650590294882463,-71.3591645773044,18.64859029488246"), "wayback")</f>
        <v>wayback</v>
      </c>
      <c r="K64" s="2" t="s">
        <v>422</v>
      </c>
      <c r="L64" s="5"/>
      <c r="M64" s="5" t="s">
        <v>422</v>
      </c>
      <c r="N64" s="5"/>
    </row>
    <row r="65" spans="1:14" x14ac:dyDescent="0.35">
      <c r="A65" s="2">
        <v>64</v>
      </c>
      <c r="B65" s="2" t="s">
        <v>425</v>
      </c>
      <c r="C65" s="2" t="s">
        <v>496</v>
      </c>
      <c r="D65" s="2" t="s">
        <v>20</v>
      </c>
      <c r="E65" s="2">
        <v>160</v>
      </c>
      <c r="F65" s="2">
        <v>18.892359838237471</v>
      </c>
      <c r="G65" s="2">
        <v>-72.233439234848944</v>
      </c>
      <c r="H65" s="8" t="str">
        <f>HYPERLINK(CONCATENATE("https://faluhong.users.earthengine.app/view/hispaniola-lc-validation#id=PF64;lat=18.892359838237475;lon=-72.23343923484894;year=2000;bf=40;level=18;"), "landsat_time_series")</f>
        <v>landsat_time_series</v>
      </c>
      <c r="I65" s="8" t="str">
        <f>HYPERLINK(CONCATENATE("https://jstnbraaten.users.earthengine.app/view/landsat-timeseries-explorer#run=true;lon=-72.23343923484894;lat=18.892359838237475;from=01-01;to=12-31;index=NBR;rgb=NIR%2FRED%2FGREEN;chipwidth=1;"), "landsat_chips")</f>
        <v>landsat_chips</v>
      </c>
      <c r="J65" s="8" t="str">
        <f>HYPERLINK(CONCATENATE("https://livingatlas.arcgis.com/wayback/#ext=-72.23443923484895,18.893359838237476,-72.23243923484894,18.891359838237474"), "wayback")</f>
        <v>wayback</v>
      </c>
      <c r="K65" s="2" t="s">
        <v>422</v>
      </c>
      <c r="L65" s="5"/>
      <c r="M65" s="5" t="s">
        <v>422</v>
      </c>
      <c r="N65" s="5"/>
    </row>
    <row r="66" spans="1:14" x14ac:dyDescent="0.35">
      <c r="A66" s="2">
        <v>65</v>
      </c>
      <c r="B66" s="2" t="s">
        <v>425</v>
      </c>
      <c r="C66" s="2" t="s">
        <v>497</v>
      </c>
      <c r="D66" s="2" t="s">
        <v>10</v>
      </c>
      <c r="E66" s="2">
        <v>1609</v>
      </c>
      <c r="F66" s="2">
        <v>19.01113653606831</v>
      </c>
      <c r="G66" s="2">
        <v>-71.22144868152786</v>
      </c>
      <c r="H66" s="8" t="str">
        <f>HYPERLINK(CONCATENATE("https://faluhong.users.earthengine.app/view/hispaniola-lc-validation#id=PF65;lat=19.011136536068307;lon=-71.22144868152786;year=2000;bf=40;level=18;"), "landsat_time_series")</f>
        <v>landsat_time_series</v>
      </c>
      <c r="I66" s="8" t="str">
        <f>HYPERLINK(CONCATENATE("https://jstnbraaten.users.earthengine.app/view/landsat-timeseries-explorer#run=true;lon=-71.22144868152786;lat=19.011136536068307;from=01-01;to=12-31;index=NBR;rgb=NIR%2FRED%2FGREEN;chipwidth=1;"), "landsat_chips")</f>
        <v>landsat_chips</v>
      </c>
      <c r="J66" s="8" t="str">
        <f>HYPERLINK(CONCATENATE("https://livingatlas.arcgis.com/wayback/#ext=-71.22244868152787,19.012136536068308,-71.22044868152786,19.010136536068305"), "wayback")</f>
        <v>wayback</v>
      </c>
      <c r="K66" s="2" t="s">
        <v>422</v>
      </c>
      <c r="L66" s="5"/>
      <c r="M66" s="5" t="s">
        <v>422</v>
      </c>
      <c r="N66" s="5"/>
    </row>
    <row r="67" spans="1:14" x14ac:dyDescent="0.35">
      <c r="A67" s="2">
        <v>66</v>
      </c>
      <c r="B67" s="2" t="s">
        <v>425</v>
      </c>
      <c r="C67" s="2" t="s">
        <v>498</v>
      </c>
      <c r="D67" s="2" t="s">
        <v>10</v>
      </c>
      <c r="E67" s="2">
        <v>390</v>
      </c>
      <c r="F67" s="2">
        <v>19.265855631025349</v>
      </c>
      <c r="G67" s="2">
        <v>-69.509322339897096</v>
      </c>
      <c r="H67" s="8" t="str">
        <f>HYPERLINK(CONCATENATE("https://faluhong.users.earthengine.app/view/hispaniola-lc-validation#id=PF66;lat=19.265855631025346;lon=-69.5093223398971;year=2000;bf=40;level=18;"), "landsat_time_series")</f>
        <v>landsat_time_series</v>
      </c>
      <c r="I67" s="8" t="str">
        <f>HYPERLINK(CONCATENATE("https://jstnbraaten.users.earthengine.app/view/landsat-timeseries-explorer#run=true;lon=-69.5093223398971;lat=19.265855631025346;from=01-01;to=12-31;index=NBR;rgb=NIR%2FRED%2FGREEN;chipwidth=1;"), "landsat_chips")</f>
        <v>landsat_chips</v>
      </c>
      <c r="J67" s="8" t="str">
        <f>HYPERLINK(CONCATENATE("https://livingatlas.arcgis.com/wayback/#ext=-69.5103223398971,19.266855631025347,-69.50832233989709,19.264855631025345"), "wayback")</f>
        <v>wayback</v>
      </c>
      <c r="K67" s="2" t="s">
        <v>422</v>
      </c>
      <c r="L67" s="5"/>
      <c r="M67" s="5" t="s">
        <v>422</v>
      </c>
      <c r="N67" s="5"/>
    </row>
    <row r="68" spans="1:14" x14ac:dyDescent="0.35">
      <c r="A68" s="2">
        <v>67</v>
      </c>
      <c r="B68" s="2" t="s">
        <v>425</v>
      </c>
      <c r="C68" s="2" t="s">
        <v>499</v>
      </c>
      <c r="D68" s="2" t="s">
        <v>20</v>
      </c>
      <c r="E68" s="2">
        <v>330</v>
      </c>
      <c r="F68" s="2">
        <v>18.26860800616187</v>
      </c>
      <c r="G68" s="2">
        <v>-73.15864941997603</v>
      </c>
      <c r="H68" s="8" t="str">
        <f>HYPERLINK(CONCATENATE("https://faluhong.users.earthengine.app/view/hispaniola-lc-validation#id=PF67;lat=18.268608006161873;lon=-73.15864941997603;year=2000;bf=40;level=18;"), "landsat_time_series")</f>
        <v>landsat_time_series</v>
      </c>
      <c r="I68" s="8" t="str">
        <f>HYPERLINK(CONCATENATE("https://jstnbraaten.users.earthengine.app/view/landsat-timeseries-explorer#run=true;lon=-73.15864941997603;lat=18.268608006161873;from=01-01;to=12-31;index=NBR;rgb=NIR%2FRED%2FGREEN;chipwidth=1;"), "landsat_chips")</f>
        <v>landsat_chips</v>
      </c>
      <c r="J68" s="8" t="str">
        <f>HYPERLINK(CONCATENATE("https://livingatlas.arcgis.com/wayback/#ext=-73.15964941997603,18.269608006161874,-73.15764941997602,18.267608006161872"), "wayback")</f>
        <v>wayback</v>
      </c>
      <c r="K68" s="2" t="s">
        <v>422</v>
      </c>
      <c r="L68" s="5"/>
      <c r="M68" s="5" t="s">
        <v>422</v>
      </c>
      <c r="N68" s="5"/>
    </row>
    <row r="69" spans="1:14" x14ac:dyDescent="0.35">
      <c r="A69" s="2">
        <v>68</v>
      </c>
      <c r="B69" s="2" t="s">
        <v>425</v>
      </c>
      <c r="C69" s="2" t="s">
        <v>500</v>
      </c>
      <c r="D69" s="2" t="s">
        <v>20</v>
      </c>
      <c r="E69" s="2">
        <v>307</v>
      </c>
      <c r="F69" s="2">
        <v>18.236427675848809</v>
      </c>
      <c r="G69" s="2">
        <v>-73.084203425147507</v>
      </c>
      <c r="H69" s="8" t="str">
        <f>HYPERLINK(CONCATENATE("https://faluhong.users.earthengine.app/view/hispaniola-lc-validation#id=PF68;lat=18.236427675848812;lon=-73.0842034251475;year=2000;bf=40;level=18;"), "landsat_time_series")</f>
        <v>landsat_time_series</v>
      </c>
      <c r="I69" s="8" t="str">
        <f>HYPERLINK(CONCATENATE("https://jstnbraaten.users.earthengine.app/view/landsat-timeseries-explorer#run=true;lon=-73.0842034251475;lat=18.236427675848812;from=01-01;to=12-31;index=NBR;rgb=NIR%2FRED%2FGREEN;chipwidth=1;"), "landsat_chips")</f>
        <v>landsat_chips</v>
      </c>
      <c r="J69" s="8" t="str">
        <f>HYPERLINK(CONCATENATE("https://livingatlas.arcgis.com/wayback/#ext=-73.08520342514751,18.237427675848814,-73.0832034251475,18.23542767584881"), "wayback")</f>
        <v>wayback</v>
      </c>
      <c r="K69" s="2" t="s">
        <v>422</v>
      </c>
      <c r="L69" s="5"/>
      <c r="M69" s="5" t="s">
        <v>422</v>
      </c>
      <c r="N69" s="5"/>
    </row>
    <row r="70" spans="1:14" x14ac:dyDescent="0.35">
      <c r="A70" s="2">
        <v>69</v>
      </c>
      <c r="B70" s="2" t="s">
        <v>425</v>
      </c>
      <c r="C70" s="2" t="s">
        <v>501</v>
      </c>
      <c r="D70" s="2" t="s">
        <v>10</v>
      </c>
      <c r="E70" s="2">
        <v>805</v>
      </c>
      <c r="F70" s="2">
        <v>18.295273598431049</v>
      </c>
      <c r="G70" s="2">
        <v>-71.586484478103017</v>
      </c>
      <c r="H70" s="8" t="str">
        <f>HYPERLINK(CONCATENATE("https://faluhong.users.earthengine.app/view/hispaniola-lc-validation#id=PF69;lat=18.295273598431045;lon=-71.58648447810302;year=2000;bf=40;level=18;"), "landsat_time_series")</f>
        <v>landsat_time_series</v>
      </c>
      <c r="I70" s="8" t="str">
        <f>HYPERLINK(CONCATENATE("https://jstnbraaten.users.earthengine.app/view/landsat-timeseries-explorer#run=true;lon=-71.58648447810302;lat=18.295273598431045;from=01-01;to=12-31;index=NBR;rgb=NIR%2FRED%2FGREEN;chipwidth=1;"), "landsat_chips")</f>
        <v>landsat_chips</v>
      </c>
      <c r="J70" s="8" t="str">
        <f>HYPERLINK(CONCATENATE("https://livingatlas.arcgis.com/wayback/#ext=-71.58748447810302,18.296273598431046,-71.58548447810301,18.294273598431044"), "wayback")</f>
        <v>wayback</v>
      </c>
      <c r="K70" s="2" t="s">
        <v>422</v>
      </c>
      <c r="L70" s="5"/>
      <c r="M70" s="5" t="s">
        <v>422</v>
      </c>
      <c r="N70" s="5"/>
    </row>
    <row r="71" spans="1:14" x14ac:dyDescent="0.35">
      <c r="A71" s="2">
        <v>70</v>
      </c>
      <c r="B71" s="2" t="s">
        <v>425</v>
      </c>
      <c r="C71" s="2" t="s">
        <v>502</v>
      </c>
      <c r="D71" s="2" t="s">
        <v>10</v>
      </c>
      <c r="E71" s="2">
        <v>1245</v>
      </c>
      <c r="F71" s="2">
        <v>19.024716462804999</v>
      </c>
      <c r="G71" s="2">
        <v>-70.715847613825233</v>
      </c>
      <c r="H71" s="8" t="str">
        <f>HYPERLINK(CONCATENATE("https://faluhong.users.earthengine.app/view/hispaniola-lc-validation#id=PF70;lat=19.024716462804996;lon=-70.71584761382523;year=2000;bf=40;level=18;"), "landsat_time_series")</f>
        <v>landsat_time_series</v>
      </c>
      <c r="I71" s="8" t="str">
        <f>HYPERLINK(CONCATENATE("https://jstnbraaten.users.earthengine.app/view/landsat-timeseries-explorer#run=true;lon=-70.71584761382523;lat=19.024716462804996;from=01-01;to=12-31;index=NBR;rgb=NIR%2FRED%2FGREEN;chipwidth=1;"), "landsat_chips")</f>
        <v>landsat_chips</v>
      </c>
      <c r="J71" s="8" t="str">
        <f>HYPERLINK(CONCATENATE("https://livingatlas.arcgis.com/wayback/#ext=-70.71684761382524,19.025716462804997,-70.71484761382523,19.023716462804995"), "wayback")</f>
        <v>wayback</v>
      </c>
      <c r="K71" s="2" t="s">
        <v>418</v>
      </c>
      <c r="L71" s="5"/>
      <c r="M71" s="5" t="s">
        <v>418</v>
      </c>
      <c r="N71" s="5" t="s">
        <v>922</v>
      </c>
    </row>
    <row r="72" spans="1:14" x14ac:dyDescent="0.35">
      <c r="A72" s="2">
        <v>71</v>
      </c>
      <c r="B72" s="2" t="s">
        <v>425</v>
      </c>
      <c r="C72" s="2" t="s">
        <v>503</v>
      </c>
      <c r="D72" s="2" t="s">
        <v>20</v>
      </c>
      <c r="E72" s="2">
        <v>52</v>
      </c>
      <c r="F72" s="2">
        <v>18.23350244923521</v>
      </c>
      <c r="G72" s="2">
        <v>-74.048396409645434</v>
      </c>
      <c r="H72" s="8" t="str">
        <f>HYPERLINK(CONCATENATE("https://faluhong.users.earthengine.app/view/hispaniola-lc-validation#id=PF71;lat=18.233502449235207;lon=-74.04839640964543;year=2000;bf=40;level=18;"), "landsat_time_series")</f>
        <v>landsat_time_series</v>
      </c>
      <c r="I72" s="8" t="str">
        <f>HYPERLINK(CONCATENATE("https://jstnbraaten.users.earthengine.app/view/landsat-timeseries-explorer#run=true;lon=-74.04839640964543;lat=18.233502449235207;from=01-01;to=12-31;index=NBR;rgb=NIR%2FRED%2FGREEN;chipwidth=1;"), "landsat_chips")</f>
        <v>landsat_chips</v>
      </c>
      <c r="J72" s="8" t="str">
        <f>HYPERLINK(CONCATENATE("https://livingatlas.arcgis.com/wayback/#ext=-74.04939640964544,18.234502449235208,-74.04739640964543,18.232502449235206"), "wayback")</f>
        <v>wayback</v>
      </c>
      <c r="K72" s="2" t="s">
        <v>422</v>
      </c>
      <c r="L72" s="5"/>
      <c r="M72" s="5" t="s">
        <v>422</v>
      </c>
      <c r="N72" s="5"/>
    </row>
    <row r="73" spans="1:14" x14ac:dyDescent="0.35">
      <c r="A73" s="2">
        <v>72</v>
      </c>
      <c r="B73" s="2" t="s">
        <v>425</v>
      </c>
      <c r="C73" s="2" t="s">
        <v>504</v>
      </c>
      <c r="D73" s="2" t="s">
        <v>20</v>
      </c>
      <c r="E73" s="2">
        <v>125</v>
      </c>
      <c r="F73" s="2">
        <v>19.556184816177591</v>
      </c>
      <c r="G73" s="2">
        <v>-72.031118437167123</v>
      </c>
      <c r="H73" s="8" t="str">
        <f>HYPERLINK(CONCATENATE("https://faluhong.users.earthengine.app/view/hispaniola-lc-validation#id=PF72;lat=19.556184816177588;lon=-72.03111843716712;year=2000;bf=40;level=18;"), "landsat_time_series")</f>
        <v>landsat_time_series</v>
      </c>
      <c r="I73" s="8" t="str">
        <f>HYPERLINK(CONCATENATE("https://jstnbraaten.users.earthengine.app/view/landsat-timeseries-explorer#run=true;lon=-72.03111843716712;lat=19.556184816177588;from=01-01;to=12-31;index=NBR;rgb=NIR%2FRED%2FGREEN;chipwidth=1;"), "landsat_chips")</f>
        <v>landsat_chips</v>
      </c>
      <c r="J73" s="8" t="str">
        <f>HYPERLINK(CONCATENATE("https://livingatlas.arcgis.com/wayback/#ext=-72.03211843716713,19.55718481617759,-72.03011843716712,19.555184816177587"), "wayback")</f>
        <v>wayback</v>
      </c>
      <c r="K73" s="2" t="s">
        <v>422</v>
      </c>
      <c r="L73" s="5"/>
      <c r="M73" s="5" t="s">
        <v>422</v>
      </c>
      <c r="N73" s="5"/>
    </row>
    <row r="74" spans="1:14" x14ac:dyDescent="0.35">
      <c r="A74" s="2">
        <v>73</v>
      </c>
      <c r="B74" s="2" t="s">
        <v>425</v>
      </c>
      <c r="C74" s="2" t="s">
        <v>505</v>
      </c>
      <c r="D74" s="2" t="s">
        <v>10</v>
      </c>
      <c r="E74" s="2">
        <v>1758</v>
      </c>
      <c r="F74" s="2">
        <v>18.180150558063168</v>
      </c>
      <c r="G74" s="2">
        <v>-71.622562887264195</v>
      </c>
      <c r="H74" s="8" t="str">
        <f>HYPERLINK(CONCATENATE("https://faluhong.users.earthengine.app/view/hispaniola-lc-validation#id=PF73;lat=18.180150558063172;lon=-71.6225628872642;year=2000;bf=40;level=18;"), "landsat_time_series")</f>
        <v>landsat_time_series</v>
      </c>
      <c r="I74" s="8" t="str">
        <f>HYPERLINK(CONCATENATE("https://jstnbraaten.users.earthengine.app/view/landsat-timeseries-explorer#run=true;lon=-71.6225628872642;lat=18.180150558063172;from=01-01;to=12-31;index=NBR;rgb=NIR%2FRED%2FGREEN;chipwidth=1;"), "landsat_chips")</f>
        <v>landsat_chips</v>
      </c>
      <c r="J74" s="8" t="str">
        <f>HYPERLINK(CONCATENATE("https://livingatlas.arcgis.com/wayback/#ext=-71.6235628872642,18.181150558063173,-71.62156288726419,18.17915055806317"), "wayback")</f>
        <v>wayback</v>
      </c>
      <c r="K74" s="2" t="s">
        <v>418</v>
      </c>
      <c r="L74" s="5"/>
      <c r="M74" s="5" t="s">
        <v>422</v>
      </c>
      <c r="N74" s="5"/>
    </row>
    <row r="75" spans="1:14" x14ac:dyDescent="0.35">
      <c r="A75" s="2">
        <v>74</v>
      </c>
      <c r="B75" s="2" t="s">
        <v>425</v>
      </c>
      <c r="C75" s="2" t="s">
        <v>506</v>
      </c>
      <c r="D75" s="2" t="s">
        <v>10</v>
      </c>
      <c r="E75" s="2">
        <v>9</v>
      </c>
      <c r="F75" s="2">
        <v>18.73921261197685</v>
      </c>
      <c r="G75" s="2">
        <v>-68.496461505832897</v>
      </c>
      <c r="H75" s="8" t="str">
        <f>HYPERLINK(CONCATENATE("https://faluhong.users.earthengine.app/view/hispaniola-lc-validation#id=PF74;lat=18.73921261197685;lon=-68.4964615058329;year=2000;bf=40;level=18;"), "landsat_time_series")</f>
        <v>landsat_time_series</v>
      </c>
      <c r="I75" s="8" t="str">
        <f>HYPERLINK(CONCATENATE("https://jstnbraaten.users.earthengine.app/view/landsat-timeseries-explorer#run=true;lon=-68.4964615058329;lat=18.73921261197685;from=01-01;to=12-31;index=NBR;rgb=NIR%2FRED%2FGREEN;chipwidth=1;"), "landsat_chips")</f>
        <v>landsat_chips</v>
      </c>
      <c r="J75" s="8" t="str">
        <f>HYPERLINK(CONCATENATE("https://livingatlas.arcgis.com/wayback/#ext=-68.4974615058329,18.74021261197685,-68.49546150583289,18.73821261197685"), "wayback")</f>
        <v>wayback</v>
      </c>
      <c r="K75" s="2" t="s">
        <v>418</v>
      </c>
      <c r="L75" s="5"/>
      <c r="M75" s="5" t="s">
        <v>418</v>
      </c>
      <c r="N75" s="5" t="s">
        <v>922</v>
      </c>
    </row>
    <row r="76" spans="1:14" x14ac:dyDescent="0.35">
      <c r="A76" s="2">
        <v>75</v>
      </c>
      <c r="B76" s="2" t="s">
        <v>425</v>
      </c>
      <c r="C76" s="2" t="s">
        <v>507</v>
      </c>
      <c r="D76" s="2" t="s">
        <v>20</v>
      </c>
      <c r="E76" s="2">
        <v>315</v>
      </c>
      <c r="F76" s="2">
        <v>18.571730646175201</v>
      </c>
      <c r="G76" s="2">
        <v>-74.072542299457325</v>
      </c>
      <c r="H76" s="8" t="str">
        <f>HYPERLINK(CONCATENATE("https://faluhong.users.earthengine.app/view/hispaniola-lc-validation#id=PF75;lat=18.571730646175197;lon=-74.07254229945733;year=2000;bf=40;level=18;"), "landsat_time_series")</f>
        <v>landsat_time_series</v>
      </c>
      <c r="I76" s="8" t="str">
        <f>HYPERLINK(CONCATENATE("https://jstnbraaten.users.earthengine.app/view/landsat-timeseries-explorer#run=true;lon=-74.07254229945733;lat=18.571730646175197;from=01-01;to=12-31;index=NBR;rgb=NIR%2FRED%2FGREEN;chipwidth=1;"), "landsat_chips")</f>
        <v>landsat_chips</v>
      </c>
      <c r="J76" s="8" t="str">
        <f>HYPERLINK(CONCATENATE("https://livingatlas.arcgis.com/wayback/#ext=-74.07354229945733,18.5727306461752,-74.07154229945732,18.570730646175196"), "wayback")</f>
        <v>wayback</v>
      </c>
      <c r="K76" s="2" t="s">
        <v>422</v>
      </c>
      <c r="L76" s="5"/>
      <c r="M76" s="5" t="s">
        <v>422</v>
      </c>
      <c r="N76" s="5"/>
    </row>
    <row r="77" spans="1:14" x14ac:dyDescent="0.35">
      <c r="A77" s="2">
        <v>76</v>
      </c>
      <c r="B77" s="2" t="s">
        <v>425</v>
      </c>
      <c r="C77" s="2" t="s">
        <v>508</v>
      </c>
      <c r="D77" s="2" t="s">
        <v>10</v>
      </c>
      <c r="E77" s="2">
        <v>1860</v>
      </c>
      <c r="F77" s="2">
        <v>19.055534939218632</v>
      </c>
      <c r="G77" s="2">
        <v>-71.164792334437323</v>
      </c>
      <c r="H77" s="8" t="str">
        <f>HYPERLINK(CONCATENATE("https://faluhong.users.earthengine.app/view/hispaniola-lc-validation#id=PF76;lat=19.055534939218628;lon=-71.16479233443732;year=2000;bf=40;level=18;"), "landsat_time_series")</f>
        <v>landsat_time_series</v>
      </c>
      <c r="I77" s="8" t="str">
        <f>HYPERLINK(CONCATENATE("https://jstnbraaten.users.earthengine.app/view/landsat-timeseries-explorer#run=true;lon=-71.16479233443732;lat=19.055534939218628;from=01-01;to=12-31;index=NBR;rgb=NIR%2FRED%2FGREEN;chipwidth=1;"), "landsat_chips")</f>
        <v>landsat_chips</v>
      </c>
      <c r="J77" s="8" t="str">
        <f>HYPERLINK(CONCATENATE("https://livingatlas.arcgis.com/wayback/#ext=-71.16579233443733,19.05653493921863,-71.16379233443732,19.054534939218627"), "wayback")</f>
        <v>wayback</v>
      </c>
      <c r="K77" s="2" t="s">
        <v>418</v>
      </c>
      <c r="L77" s="5"/>
      <c r="M77" s="5" t="s">
        <v>418</v>
      </c>
      <c r="N77" s="5" t="s">
        <v>419</v>
      </c>
    </row>
    <row r="78" spans="1:14" x14ac:dyDescent="0.35">
      <c r="A78" s="2">
        <v>77</v>
      </c>
      <c r="B78" s="2" t="s">
        <v>425</v>
      </c>
      <c r="C78" s="2" t="s">
        <v>509</v>
      </c>
      <c r="D78" s="2" t="s">
        <v>10</v>
      </c>
      <c r="E78" s="2">
        <v>257</v>
      </c>
      <c r="F78" s="2">
        <v>19.02772596955413</v>
      </c>
      <c r="G78" s="2">
        <v>-69.781400767807298</v>
      </c>
      <c r="H78" s="8" t="str">
        <f>HYPERLINK(CONCATENATE("https://faluhong.users.earthengine.app/view/hispaniola-lc-validation#id=PF77;lat=19.027725969554133;lon=-69.7814007678073;year=2000;bf=40;level=18;"), "landsat_time_series")</f>
        <v>landsat_time_series</v>
      </c>
      <c r="I78" s="8" t="str">
        <f>HYPERLINK(CONCATENATE("https://jstnbraaten.users.earthengine.app/view/landsat-timeseries-explorer#run=true;lon=-69.7814007678073;lat=19.027725969554133;from=01-01;to=12-31;index=NBR;rgb=NIR%2FRED%2FGREEN;chipwidth=1;"), "landsat_chips")</f>
        <v>landsat_chips</v>
      </c>
      <c r="J78" s="8" t="str">
        <f>HYPERLINK(CONCATENATE("https://livingatlas.arcgis.com/wayback/#ext=-69.7824007678073,19.028725969554134,-69.7804007678073,19.026725969554132"), "wayback")</f>
        <v>wayback</v>
      </c>
      <c r="K78" s="2" t="s">
        <v>422</v>
      </c>
      <c r="L78" s="5"/>
      <c r="M78" s="5" t="s">
        <v>422</v>
      </c>
      <c r="N78" s="5"/>
    </row>
    <row r="79" spans="1:14" x14ac:dyDescent="0.35">
      <c r="A79" s="2">
        <v>78</v>
      </c>
      <c r="B79" s="2" t="s">
        <v>425</v>
      </c>
      <c r="C79" s="2" t="s">
        <v>510</v>
      </c>
      <c r="D79" s="2" t="s">
        <v>10</v>
      </c>
      <c r="E79" s="2">
        <v>558</v>
      </c>
      <c r="F79" s="2">
        <v>19.669741243952501</v>
      </c>
      <c r="G79" s="2">
        <v>-70.671812767370469</v>
      </c>
      <c r="H79" s="8" t="str">
        <f>HYPERLINK(CONCATENATE("https://faluhong.users.earthengine.app/view/hispaniola-lc-validation#id=PF78;lat=19.6697412439525;lon=-70.67181276737047;year=2000;bf=40;level=18;"), "landsat_time_series")</f>
        <v>landsat_time_series</v>
      </c>
      <c r="I79" s="8" t="str">
        <f>HYPERLINK(CONCATENATE("https://jstnbraaten.users.earthengine.app/view/landsat-timeseries-explorer#run=true;lon=-70.67181276737047;lat=19.6697412439525;from=01-01;to=12-31;index=NBR;rgb=NIR%2FRED%2FGREEN;chipwidth=1;"), "landsat_chips")</f>
        <v>landsat_chips</v>
      </c>
      <c r="J79" s="8" t="str">
        <f>HYPERLINK(CONCATENATE("https://livingatlas.arcgis.com/wayback/#ext=-70.67281276737047,19.670741243952502,-70.67081276737046,19.6687412439525"), "wayback")</f>
        <v>wayback</v>
      </c>
      <c r="K79" s="2" t="s">
        <v>422</v>
      </c>
      <c r="L79" s="5"/>
      <c r="M79" s="5" t="s">
        <v>422</v>
      </c>
      <c r="N79" s="5"/>
    </row>
    <row r="80" spans="1:14" x14ac:dyDescent="0.35">
      <c r="A80" s="2">
        <v>79</v>
      </c>
      <c r="B80" s="2" t="s">
        <v>425</v>
      </c>
      <c r="C80" s="2" t="s">
        <v>511</v>
      </c>
      <c r="D80" s="2" t="s">
        <v>10</v>
      </c>
      <c r="E80" s="2">
        <v>2576</v>
      </c>
      <c r="F80" s="2">
        <v>19.03531909674718</v>
      </c>
      <c r="G80" s="2">
        <v>-71.016471375000449</v>
      </c>
      <c r="H80" s="8" t="str">
        <f>HYPERLINK(CONCATENATE("https://faluhong.users.earthengine.app/view/hispaniola-lc-validation#id=PF79;lat=19.035319096747184;lon=-71.01647137500045;year=2000;bf=40;level=18;"), "landsat_time_series")</f>
        <v>landsat_time_series</v>
      </c>
      <c r="I80" s="8" t="str">
        <f>HYPERLINK(CONCATENATE("https://jstnbraaten.users.earthengine.app/view/landsat-timeseries-explorer#run=true;lon=-71.01647137500045;lat=19.035319096747184;from=01-01;to=12-31;index=NBR;rgb=NIR%2FRED%2FGREEN;chipwidth=1;"), "landsat_chips")</f>
        <v>landsat_chips</v>
      </c>
      <c r="J80" s="8" t="str">
        <f>HYPERLINK(CONCATENATE("https://livingatlas.arcgis.com/wayback/#ext=-71.01747137500045,19.036319096747185,-71.01547137500044,19.034319096747183"), "wayback")</f>
        <v>wayback</v>
      </c>
      <c r="K80" s="2" t="s">
        <v>418</v>
      </c>
      <c r="L80" s="5"/>
      <c r="M80" s="5" t="s">
        <v>418</v>
      </c>
      <c r="N80" s="5" t="s">
        <v>419</v>
      </c>
    </row>
    <row r="81" spans="1:14" x14ac:dyDescent="0.35">
      <c r="A81" s="2">
        <v>80</v>
      </c>
      <c r="B81" s="2" t="s">
        <v>425</v>
      </c>
      <c r="C81" s="2" t="s">
        <v>512</v>
      </c>
      <c r="D81" s="2" t="s">
        <v>10</v>
      </c>
      <c r="E81" s="2">
        <v>108</v>
      </c>
      <c r="F81" s="2">
        <v>18.538990627863541</v>
      </c>
      <c r="G81" s="2">
        <v>-70.136452001503002</v>
      </c>
      <c r="H81" s="8" t="str">
        <f>HYPERLINK(CONCATENATE("https://faluhong.users.earthengine.app/view/hispaniola-lc-validation#id=PF80;lat=18.538990627863537;lon=-70.136452001503;year=2000;bf=40;level=18;"), "landsat_time_series")</f>
        <v>landsat_time_series</v>
      </c>
      <c r="I81" s="8" t="str">
        <f>HYPERLINK(CONCATENATE("https://jstnbraaten.users.earthengine.app/view/landsat-timeseries-explorer#run=true;lon=-70.136452001503;lat=18.538990627863537;from=01-01;to=12-31;index=NBR;rgb=NIR%2FRED%2FGREEN;chipwidth=1;"), "landsat_chips")</f>
        <v>landsat_chips</v>
      </c>
      <c r="J81" s="8" t="str">
        <f>HYPERLINK(CONCATENATE("https://livingatlas.arcgis.com/wayback/#ext=-70.13745200150301,18.53999062786354,-70.135452001503,18.537990627863536"), "wayback")</f>
        <v>wayback</v>
      </c>
      <c r="K81" s="2" t="s">
        <v>422</v>
      </c>
      <c r="L81" s="5"/>
      <c r="M81" s="5" t="s">
        <v>422</v>
      </c>
      <c r="N81" s="5"/>
    </row>
    <row r="82" spans="1:14" x14ac:dyDescent="0.35">
      <c r="A82" s="2">
        <v>81</v>
      </c>
      <c r="B82" s="2" t="s">
        <v>425</v>
      </c>
      <c r="C82" s="2" t="s">
        <v>513</v>
      </c>
      <c r="D82" s="2" t="s">
        <v>10</v>
      </c>
      <c r="E82" s="2">
        <v>646</v>
      </c>
      <c r="F82" s="2">
        <v>19.61734864876998</v>
      </c>
      <c r="G82" s="2">
        <v>-70.764907798740936</v>
      </c>
      <c r="H82" s="8" t="str">
        <f>HYPERLINK(CONCATENATE("https://faluhong.users.earthengine.app/view/hispaniola-lc-validation#id=PF81;lat=19.617348648769983;lon=-70.76490779874094;year=2000;bf=40;level=18;"), "landsat_time_series")</f>
        <v>landsat_time_series</v>
      </c>
      <c r="I82" s="8" t="str">
        <f>HYPERLINK(CONCATENATE("https://jstnbraaten.users.earthengine.app/view/landsat-timeseries-explorer#run=true;lon=-70.76490779874094;lat=19.617348648769983;from=01-01;to=12-31;index=NBR;rgb=NIR%2FRED%2FGREEN;chipwidth=1;"), "landsat_chips")</f>
        <v>landsat_chips</v>
      </c>
      <c r="J82" s="8" t="str">
        <f>HYPERLINK(CONCATENATE("https://livingatlas.arcgis.com/wayback/#ext=-70.76590779874094,19.618348648769985,-70.76390779874093,19.616348648769982"), "wayback")</f>
        <v>wayback</v>
      </c>
      <c r="K82" s="2" t="s">
        <v>422</v>
      </c>
      <c r="L82" s="5"/>
      <c r="M82" s="5" t="s">
        <v>422</v>
      </c>
      <c r="N82" s="5"/>
    </row>
    <row r="83" spans="1:14" x14ac:dyDescent="0.35">
      <c r="A83" s="2">
        <v>82</v>
      </c>
      <c r="B83" s="2" t="s">
        <v>425</v>
      </c>
      <c r="C83" s="2" t="s">
        <v>514</v>
      </c>
      <c r="D83" s="2" t="s">
        <v>10</v>
      </c>
      <c r="E83" s="2">
        <v>1491</v>
      </c>
      <c r="F83" s="2">
        <v>18.253625587647811</v>
      </c>
      <c r="G83" s="2">
        <v>-71.55954323991125</v>
      </c>
      <c r="H83" s="8" t="str">
        <f>HYPERLINK(CONCATENATE("https://faluhong.users.earthengine.app/view/hispaniola-lc-validation#id=PF82;lat=18.25362558764781;lon=-71.55954323991125;year=2000;bf=40;level=18;"), "landsat_time_series")</f>
        <v>landsat_time_series</v>
      </c>
      <c r="I83" s="8" t="str">
        <f>HYPERLINK(CONCATENATE("https://jstnbraaten.users.earthengine.app/view/landsat-timeseries-explorer#run=true;lon=-71.55954323991125;lat=18.25362558764781;from=01-01;to=12-31;index=NBR;rgb=NIR%2FRED%2FGREEN;chipwidth=1;"), "landsat_chips")</f>
        <v>landsat_chips</v>
      </c>
      <c r="J83" s="8" t="str">
        <f>HYPERLINK(CONCATENATE("https://livingatlas.arcgis.com/wayback/#ext=-71.56054323991125,18.254625587647812,-71.55854323991124,18.25262558764781"), "wayback")</f>
        <v>wayback</v>
      </c>
      <c r="K83" s="2" t="s">
        <v>418</v>
      </c>
      <c r="L83" s="5"/>
      <c r="M83" s="5" t="s">
        <v>422</v>
      </c>
      <c r="N83" s="5"/>
    </row>
    <row r="84" spans="1:14" x14ac:dyDescent="0.35">
      <c r="A84" s="2">
        <v>83</v>
      </c>
      <c r="B84" s="2" t="s">
        <v>425</v>
      </c>
      <c r="C84" s="2" t="s">
        <v>515</v>
      </c>
      <c r="D84" s="2" t="s">
        <v>20</v>
      </c>
      <c r="E84" s="2">
        <v>534</v>
      </c>
      <c r="F84" s="2">
        <v>19.707936847994951</v>
      </c>
      <c r="G84" s="2">
        <v>-72.94826101834515</v>
      </c>
      <c r="H84" s="8" t="str">
        <f>HYPERLINK(CONCATENATE("https://faluhong.users.earthengine.app/view/hispaniola-lc-validation#id=PF83;lat=19.70793684799495;lon=-72.94826101834515;year=2000;bf=40;level=18;"), "landsat_time_series")</f>
        <v>landsat_time_series</v>
      </c>
      <c r="I84" s="8" t="str">
        <f>HYPERLINK(CONCATENATE("https://jstnbraaten.users.earthengine.app/view/landsat-timeseries-explorer#run=true;lon=-72.94826101834515;lat=19.70793684799495;from=01-01;to=12-31;index=NBR;rgb=NIR%2FRED%2FGREEN;chipwidth=1;"), "landsat_chips")</f>
        <v>landsat_chips</v>
      </c>
      <c r="J84" s="8" t="str">
        <f>HYPERLINK(CONCATENATE("https://livingatlas.arcgis.com/wayback/#ext=-72.94926101834515,19.708936847994952,-72.94726101834515,19.70693684799495"), "wayback")</f>
        <v>wayback</v>
      </c>
      <c r="K84" s="2" t="s">
        <v>422</v>
      </c>
      <c r="L84" s="5"/>
      <c r="M84" s="5" t="s">
        <v>422</v>
      </c>
      <c r="N84" s="5"/>
    </row>
    <row r="85" spans="1:14" x14ac:dyDescent="0.35">
      <c r="A85" s="2">
        <v>84</v>
      </c>
      <c r="B85" s="2" t="s">
        <v>425</v>
      </c>
      <c r="C85" s="2" t="s">
        <v>516</v>
      </c>
      <c r="D85" s="2" t="s">
        <v>10</v>
      </c>
      <c r="E85" s="2">
        <v>2099</v>
      </c>
      <c r="F85" s="2">
        <v>18.215973092330941</v>
      </c>
      <c r="G85" s="2">
        <v>-71.602166115553786</v>
      </c>
      <c r="H85" s="8" t="str">
        <f>HYPERLINK(CONCATENATE("https://faluhong.users.earthengine.app/view/hispaniola-lc-validation#id=PF84;lat=18.21597309233094;lon=-71.60216611555379;year=2000;bf=40;level=18;"), "landsat_time_series")</f>
        <v>landsat_time_series</v>
      </c>
      <c r="I85" s="8" t="str">
        <f>HYPERLINK(CONCATENATE("https://jstnbraaten.users.earthengine.app/view/landsat-timeseries-explorer#run=true;lon=-71.60216611555379;lat=18.21597309233094;from=01-01;to=12-31;index=NBR;rgb=NIR%2FRED%2FGREEN;chipwidth=1;"), "landsat_chips")</f>
        <v>landsat_chips</v>
      </c>
      <c r="J85" s="8" t="str">
        <f>HYPERLINK(CONCATENATE("https://livingatlas.arcgis.com/wayback/#ext=-71.60316611555379,18.216973092330942,-71.60116611555378,18.21497309233094"), "wayback")</f>
        <v>wayback</v>
      </c>
      <c r="K85" s="2" t="s">
        <v>418</v>
      </c>
      <c r="L85" s="5"/>
      <c r="M85" s="5" t="s">
        <v>418</v>
      </c>
      <c r="N85" s="5" t="s">
        <v>419</v>
      </c>
    </row>
    <row r="86" spans="1:14" x14ac:dyDescent="0.35">
      <c r="A86" s="2">
        <v>85</v>
      </c>
      <c r="B86" s="2" t="s">
        <v>425</v>
      </c>
      <c r="C86" s="2" t="s">
        <v>517</v>
      </c>
      <c r="D86" s="2" t="s">
        <v>10</v>
      </c>
      <c r="E86" s="2">
        <v>7</v>
      </c>
      <c r="F86" s="2">
        <v>18.60730051392995</v>
      </c>
      <c r="G86" s="2">
        <v>-69.385451648463032</v>
      </c>
      <c r="H86" s="8" t="str">
        <f>HYPERLINK(CONCATENATE("https://faluhong.users.earthengine.app/view/hispaniola-lc-validation#id=PF85;lat=18.60730051392995;lon=-69.38545164846303;year=2000;bf=40;level=18;"), "landsat_time_series")</f>
        <v>landsat_time_series</v>
      </c>
      <c r="I86" s="8" t="str">
        <f>HYPERLINK(CONCATENATE("https://jstnbraaten.users.earthengine.app/view/landsat-timeseries-explorer#run=true;lon=-69.38545164846303;lat=18.60730051392995;from=01-01;to=12-31;index=NBR;rgb=NIR%2FRED%2FGREEN;chipwidth=1;"), "landsat_chips")</f>
        <v>landsat_chips</v>
      </c>
      <c r="J86" s="8" t="str">
        <f>HYPERLINK(CONCATENATE("https://livingatlas.arcgis.com/wayback/#ext=-69.38645164846304,18.60830051392995,-69.38445164846303,18.60630051392995"), "wayback")</f>
        <v>wayback</v>
      </c>
      <c r="K86" s="2" t="s">
        <v>422</v>
      </c>
      <c r="L86" s="5"/>
      <c r="M86" s="5" t="s">
        <v>422</v>
      </c>
      <c r="N86" s="5"/>
    </row>
    <row r="87" spans="1:14" x14ac:dyDescent="0.35">
      <c r="A87" s="2">
        <v>86</v>
      </c>
      <c r="B87" s="2" t="s">
        <v>425</v>
      </c>
      <c r="C87" s="2" t="s">
        <v>518</v>
      </c>
      <c r="D87" s="2" t="s">
        <v>20</v>
      </c>
      <c r="E87" s="2">
        <v>214</v>
      </c>
      <c r="F87" s="2">
        <v>18.17714426599321</v>
      </c>
      <c r="G87" s="2">
        <v>-73.929752037510966</v>
      </c>
      <c r="H87" s="8" t="str">
        <f>HYPERLINK(CONCATENATE("https://faluhong.users.earthengine.app/view/hispaniola-lc-validation#id=PF86;lat=18.177144265993206;lon=-73.92975203751097;year=2000;bf=40;level=18;"), "landsat_time_series")</f>
        <v>landsat_time_series</v>
      </c>
      <c r="I87" s="8" t="str">
        <f>HYPERLINK(CONCATENATE("https://jstnbraaten.users.earthengine.app/view/landsat-timeseries-explorer#run=true;lon=-73.92975203751097;lat=18.177144265993206;from=01-01;to=12-31;index=NBR;rgb=NIR%2FRED%2FGREEN;chipwidth=1;"), "landsat_chips")</f>
        <v>landsat_chips</v>
      </c>
      <c r="J87" s="8" t="str">
        <f>HYPERLINK(CONCATENATE("https://livingatlas.arcgis.com/wayback/#ext=-73.93075203751097,18.178144265993208,-73.92875203751096,18.176144265993205"), "wayback")</f>
        <v>wayback</v>
      </c>
      <c r="K87" s="2" t="s">
        <v>422</v>
      </c>
      <c r="L87" s="5"/>
      <c r="M87" s="5" t="s">
        <v>422</v>
      </c>
      <c r="N87" s="5"/>
    </row>
    <row r="88" spans="1:14" x14ac:dyDescent="0.35">
      <c r="A88" s="2">
        <v>87</v>
      </c>
      <c r="B88" s="2" t="s">
        <v>425</v>
      </c>
      <c r="C88" s="2" t="s">
        <v>519</v>
      </c>
      <c r="D88" s="2" t="s">
        <v>20</v>
      </c>
      <c r="E88" s="2">
        <v>643</v>
      </c>
      <c r="F88" s="2">
        <v>19.138848391411411</v>
      </c>
      <c r="G88" s="2">
        <v>-72.369824493013937</v>
      </c>
      <c r="H88" s="8" t="str">
        <f>HYPERLINK(CONCATENATE("https://faluhong.users.earthengine.app/view/hispaniola-lc-validation#id=PF87;lat=19.138848391411408;lon=-72.36982449301394;year=2000;bf=40;level=18;"), "landsat_time_series")</f>
        <v>landsat_time_series</v>
      </c>
      <c r="I88" s="8" t="str">
        <f>HYPERLINK(CONCATENATE("https://jstnbraaten.users.earthengine.app/view/landsat-timeseries-explorer#run=true;lon=-72.36982449301394;lat=19.138848391411408;from=01-01;to=12-31;index=NBR;rgb=NIR%2FRED%2FGREEN;chipwidth=1;"), "landsat_chips")</f>
        <v>landsat_chips</v>
      </c>
      <c r="J88" s="8" t="str">
        <f>HYPERLINK(CONCATENATE("https://livingatlas.arcgis.com/wayback/#ext=-72.37082449301394,19.13984839141141,-72.36882449301393,19.137848391411406"), "wayback")</f>
        <v>wayback</v>
      </c>
      <c r="K88" s="2" t="s">
        <v>422</v>
      </c>
      <c r="L88" s="5"/>
      <c r="M88" s="5" t="s">
        <v>422</v>
      </c>
      <c r="N88" s="5"/>
    </row>
    <row r="89" spans="1:14" x14ac:dyDescent="0.35">
      <c r="A89" s="2">
        <v>88</v>
      </c>
      <c r="B89" s="2" t="s">
        <v>425</v>
      </c>
      <c r="C89" s="2" t="s">
        <v>520</v>
      </c>
      <c r="D89" s="2" t="s">
        <v>20</v>
      </c>
      <c r="E89" s="2">
        <v>192</v>
      </c>
      <c r="F89" s="2">
        <v>19.559495174238609</v>
      </c>
      <c r="G89" s="2">
        <v>-72.139446311694499</v>
      </c>
      <c r="H89" s="8" t="str">
        <f>HYPERLINK(CONCATENATE("https://faluhong.users.earthengine.app/view/hispaniola-lc-validation#id=PF88;lat=19.55949517423861;lon=-72.1394463116945;year=2000;bf=40;level=18;"), "landsat_time_series")</f>
        <v>landsat_time_series</v>
      </c>
      <c r="I89" s="8" t="str">
        <f>HYPERLINK(CONCATENATE("https://jstnbraaten.users.earthengine.app/view/landsat-timeseries-explorer#run=true;lon=-72.1394463116945;lat=19.55949517423861;from=01-01;to=12-31;index=NBR;rgb=NIR%2FRED%2FGREEN;chipwidth=1;"), "landsat_chips")</f>
        <v>landsat_chips</v>
      </c>
      <c r="J89" s="8" t="str">
        <f>HYPERLINK(CONCATENATE("https://livingatlas.arcgis.com/wayback/#ext=-72.1404463116945,19.56049517423861,-72.1384463116945,19.558495174238608"), "wayback")</f>
        <v>wayback</v>
      </c>
      <c r="K89" s="2" t="s">
        <v>422</v>
      </c>
      <c r="L89" s="5"/>
      <c r="M89" s="5" t="s">
        <v>422</v>
      </c>
      <c r="N89" s="5"/>
    </row>
    <row r="90" spans="1:14" x14ac:dyDescent="0.35">
      <c r="A90" s="2">
        <v>89</v>
      </c>
      <c r="B90" s="2" t="s">
        <v>425</v>
      </c>
      <c r="C90" s="2" t="s">
        <v>521</v>
      </c>
      <c r="D90" s="2" t="s">
        <v>10</v>
      </c>
      <c r="E90" s="2">
        <v>222</v>
      </c>
      <c r="F90" s="2">
        <v>19.638986035831099</v>
      </c>
      <c r="G90" s="2">
        <v>-69.964096430333967</v>
      </c>
      <c r="H90" s="8" t="str">
        <f>HYPERLINK(CONCATENATE("https://faluhong.users.earthengine.app/view/hispaniola-lc-validation#id=PF89;lat=19.638986035831095;lon=-69.96409643033397;year=2000;bf=40;level=18;"), "landsat_time_series")</f>
        <v>landsat_time_series</v>
      </c>
      <c r="I90" s="8" t="str">
        <f>HYPERLINK(CONCATENATE("https://jstnbraaten.users.earthengine.app/view/landsat-timeseries-explorer#run=true;lon=-69.96409643033397;lat=19.638986035831095;from=01-01;to=12-31;index=NBR;rgb=NIR%2FRED%2FGREEN;chipwidth=1;"), "landsat_chips")</f>
        <v>landsat_chips</v>
      </c>
      <c r="J90" s="8" t="str">
        <f>HYPERLINK(CONCATENATE("https://livingatlas.arcgis.com/wayback/#ext=-69.96509643033397,19.639986035831097,-69.96309643033396,19.637986035831094"), "wayback")</f>
        <v>wayback</v>
      </c>
      <c r="K90" s="2" t="s">
        <v>422</v>
      </c>
      <c r="L90" s="5"/>
      <c r="M90" s="5" t="s">
        <v>422</v>
      </c>
      <c r="N90" s="5"/>
    </row>
    <row r="91" spans="1:14" x14ac:dyDescent="0.35">
      <c r="A91" s="2">
        <v>90</v>
      </c>
      <c r="B91" s="2" t="s">
        <v>425</v>
      </c>
      <c r="C91" s="2" t="s">
        <v>522</v>
      </c>
      <c r="D91" s="2" t="s">
        <v>10</v>
      </c>
      <c r="E91" s="2">
        <v>151</v>
      </c>
      <c r="F91" s="2">
        <v>18.902038485813222</v>
      </c>
      <c r="G91" s="2">
        <v>-69.841107581748659</v>
      </c>
      <c r="H91" s="8" t="str">
        <f>HYPERLINK(CONCATENATE("https://faluhong.users.earthengine.app/view/hispaniola-lc-validation#id=PF90;lat=18.90203848581322;lon=-69.84110758174866;year=2000;bf=40;level=18;"), "landsat_time_series")</f>
        <v>landsat_time_series</v>
      </c>
      <c r="I91" s="8" t="str">
        <f>HYPERLINK(CONCATENATE("https://jstnbraaten.users.earthengine.app/view/landsat-timeseries-explorer#run=true;lon=-69.84110758174866;lat=18.90203848581322;from=01-01;to=12-31;index=NBR;rgb=NIR%2FRED%2FGREEN;chipwidth=1;"), "landsat_chips")</f>
        <v>landsat_chips</v>
      </c>
      <c r="J91" s="8" t="str">
        <f>HYPERLINK(CONCATENATE("https://livingatlas.arcgis.com/wayback/#ext=-69.84210758174866,18.903038485813223,-69.84010758174865,18.90103848581322"), "wayback")</f>
        <v>wayback</v>
      </c>
      <c r="K91" s="2" t="s">
        <v>422</v>
      </c>
      <c r="L91" s="5"/>
      <c r="M91" s="5" t="s">
        <v>422</v>
      </c>
      <c r="N91" s="5"/>
    </row>
    <row r="92" spans="1:14" x14ac:dyDescent="0.35">
      <c r="A92" s="2">
        <v>91</v>
      </c>
      <c r="B92" s="2" t="s">
        <v>426</v>
      </c>
      <c r="C92" s="2" t="s">
        <v>523</v>
      </c>
      <c r="D92" s="2" t="s">
        <v>10</v>
      </c>
      <c r="E92" s="2">
        <v>3</v>
      </c>
      <c r="F92" s="2">
        <v>18.42614914545101</v>
      </c>
      <c r="G92" s="2">
        <v>-71.305740948911961</v>
      </c>
      <c r="H92" s="8" t="str">
        <f>HYPERLINK(CONCATENATE("https://faluhong.users.earthengine.app/view/hispaniola-lc-validation#id=PF91;lat=18.42614914545101;lon=-71.30574094891196;year=2000;bf=40;level=18;"), "landsat_time_series")</f>
        <v>landsat_time_series</v>
      </c>
      <c r="I92" s="8" t="str">
        <f>HYPERLINK(CONCATENATE("https://jstnbraaten.users.earthengine.app/view/landsat-timeseries-explorer#run=true;lon=-71.30574094891196;lat=18.42614914545101;from=01-01;to=12-31;index=NBR;rgb=NIR%2FRED%2FGREEN;chipwidth=1;"), "landsat_chips")</f>
        <v>landsat_chips</v>
      </c>
      <c r="J92" s="8" t="str">
        <f>HYPERLINK(CONCATENATE("https://livingatlas.arcgis.com/wayback/#ext=-71.30674094891197,18.42714914545101,-71.30474094891196,18.42514914545101"), "wayback")</f>
        <v>wayback</v>
      </c>
      <c r="K92" s="2" t="s">
        <v>422</v>
      </c>
      <c r="L92" s="5"/>
      <c r="M92" s="5" t="s">
        <v>422</v>
      </c>
      <c r="N92" s="5"/>
    </row>
    <row r="93" spans="1:14" x14ac:dyDescent="0.35">
      <c r="A93" s="2">
        <v>92</v>
      </c>
      <c r="B93" s="2" t="s">
        <v>426</v>
      </c>
      <c r="C93" s="2" t="s">
        <v>524</v>
      </c>
      <c r="D93" s="2" t="s">
        <v>10</v>
      </c>
      <c r="E93" s="2">
        <v>495</v>
      </c>
      <c r="F93" s="2">
        <v>18.884910501998451</v>
      </c>
      <c r="G93" s="2">
        <v>-71.344871540795154</v>
      </c>
      <c r="H93" s="8" t="str">
        <f>HYPERLINK(CONCATENATE("https://faluhong.users.earthengine.app/view/hispaniola-lc-validation#id=PF92;lat=18.884910501998448;lon=-71.34487154079515;year=2000;bf=40;level=18;"), "landsat_time_series")</f>
        <v>landsat_time_series</v>
      </c>
      <c r="I93" s="8" t="str">
        <f>HYPERLINK(CONCATENATE("https://jstnbraaten.users.earthengine.app/view/landsat-timeseries-explorer#run=true;lon=-71.34487154079515;lat=18.884910501998448;from=01-01;to=12-31;index=NBR;rgb=NIR%2FRED%2FGREEN;chipwidth=1;"), "landsat_chips")</f>
        <v>landsat_chips</v>
      </c>
      <c r="J93" s="8" t="str">
        <f>HYPERLINK(CONCATENATE("https://livingatlas.arcgis.com/wayback/#ext=-71.34587154079516,18.88591050199845,-71.34387154079515,18.883910501998447"), "wayback")</f>
        <v>wayback</v>
      </c>
      <c r="K93" s="2" t="s">
        <v>422</v>
      </c>
      <c r="L93" s="5"/>
      <c r="M93" s="5" t="s">
        <v>422</v>
      </c>
      <c r="N93" s="5"/>
    </row>
    <row r="94" spans="1:14" x14ac:dyDescent="0.35">
      <c r="A94" s="2">
        <v>93</v>
      </c>
      <c r="B94" s="2" t="s">
        <v>426</v>
      </c>
      <c r="C94" s="2" t="s">
        <v>525</v>
      </c>
      <c r="D94" s="2" t="s">
        <v>10</v>
      </c>
      <c r="E94" s="2">
        <v>209</v>
      </c>
      <c r="F94" s="2">
        <v>18.923040160808899</v>
      </c>
      <c r="G94" s="2">
        <v>-69.759284652538142</v>
      </c>
      <c r="H94" s="8" t="str">
        <f>HYPERLINK(CONCATENATE("https://faluhong.users.earthengine.app/view/hispaniola-lc-validation#id=PF93;lat=18.923040160808902;lon=-69.75928465253814;year=2000;bf=40;level=18;"), "landsat_time_series")</f>
        <v>landsat_time_series</v>
      </c>
      <c r="I94" s="8" t="str">
        <f>HYPERLINK(CONCATENATE("https://jstnbraaten.users.earthengine.app/view/landsat-timeseries-explorer#run=true;lon=-69.75928465253814;lat=18.923040160808902;from=01-01;to=12-31;index=NBR;rgb=NIR%2FRED%2FGREEN;chipwidth=1;"), "landsat_chips")</f>
        <v>landsat_chips</v>
      </c>
      <c r="J94" s="8" t="str">
        <f>HYPERLINK(CONCATENATE("https://livingatlas.arcgis.com/wayback/#ext=-69.76028465253815,18.924040160808904,-69.75828465253814,18.9220401608089"), "wayback")</f>
        <v>wayback</v>
      </c>
      <c r="K94" s="2" t="s">
        <v>422</v>
      </c>
      <c r="L94" s="5"/>
      <c r="M94" s="5" t="s">
        <v>422</v>
      </c>
      <c r="N94" s="5"/>
    </row>
    <row r="95" spans="1:14" x14ac:dyDescent="0.35">
      <c r="A95" s="2">
        <v>94</v>
      </c>
      <c r="B95" s="2" t="s">
        <v>426</v>
      </c>
      <c r="C95" s="2" t="s">
        <v>526</v>
      </c>
      <c r="D95" s="2" t="s">
        <v>10</v>
      </c>
      <c r="E95" s="2">
        <v>129</v>
      </c>
      <c r="F95" s="2">
        <v>18.650190404618389</v>
      </c>
      <c r="G95" s="2">
        <v>-70.144614001783467</v>
      </c>
      <c r="H95" s="8" t="str">
        <f>HYPERLINK(CONCATENATE("https://faluhong.users.earthengine.app/view/hispaniola-lc-validation#id=PF94;lat=18.650190404618392;lon=-70.14461400178347;year=2000;bf=40;level=18;"), "landsat_time_series")</f>
        <v>landsat_time_series</v>
      </c>
      <c r="I95" s="8" t="str">
        <f>HYPERLINK(CONCATENATE("https://jstnbraaten.users.earthengine.app/view/landsat-timeseries-explorer#run=true;lon=-70.14461400178347;lat=18.650190404618392;from=01-01;to=12-31;index=NBR;rgb=NIR%2FRED%2FGREEN;chipwidth=1;"), "landsat_chips")</f>
        <v>landsat_chips</v>
      </c>
      <c r="J95" s="8" t="str">
        <f>HYPERLINK(CONCATENATE("https://livingatlas.arcgis.com/wayback/#ext=-70.14561400178347,18.651190404618394,-70.14361400178346,18.64919040461839"), "wayback")</f>
        <v>wayback</v>
      </c>
      <c r="K95" s="2" t="s">
        <v>422</v>
      </c>
      <c r="L95" s="5"/>
      <c r="M95" s="5" t="s">
        <v>422</v>
      </c>
      <c r="N95" s="5"/>
    </row>
    <row r="96" spans="1:14" x14ac:dyDescent="0.35">
      <c r="A96" s="2">
        <v>95</v>
      </c>
      <c r="B96" s="2" t="s">
        <v>426</v>
      </c>
      <c r="C96" s="2" t="s">
        <v>527</v>
      </c>
      <c r="D96" s="2" t="s">
        <v>10</v>
      </c>
      <c r="E96" s="2">
        <v>2059</v>
      </c>
      <c r="F96" s="2">
        <v>18.255481711012219</v>
      </c>
      <c r="G96" s="2">
        <v>-71.686965379685049</v>
      </c>
      <c r="H96" s="8" t="str">
        <f>HYPERLINK(CONCATENATE("https://faluhong.users.earthengine.app/view/hispaniola-lc-validation#id=PF95;lat=18.255481711012223;lon=-71.68696537968505;year=2000;bf=40;level=18;"), "landsat_time_series")</f>
        <v>landsat_time_series</v>
      </c>
      <c r="I96" s="8" t="str">
        <f>HYPERLINK(CONCATENATE("https://jstnbraaten.users.earthengine.app/view/landsat-timeseries-explorer#run=true;lon=-71.68696537968505;lat=18.255481711012223;from=01-01;to=12-31;index=NBR;rgb=NIR%2FRED%2FGREEN;chipwidth=1;"), "landsat_chips")</f>
        <v>landsat_chips</v>
      </c>
      <c r="J96" s="8" t="str">
        <f>HYPERLINK(CONCATENATE("https://livingatlas.arcgis.com/wayback/#ext=-71.68796537968505,18.256481711012224,-71.68596537968504,18.25448171101222"), "wayback")</f>
        <v>wayback</v>
      </c>
      <c r="K96" s="2" t="s">
        <v>418</v>
      </c>
      <c r="L96" s="5"/>
      <c r="M96" s="5" t="s">
        <v>418</v>
      </c>
      <c r="N96" s="5" t="s">
        <v>419</v>
      </c>
    </row>
    <row r="97" spans="1:14" x14ac:dyDescent="0.35">
      <c r="A97" s="2">
        <v>96</v>
      </c>
      <c r="B97" s="2" t="s">
        <v>426</v>
      </c>
      <c r="C97" s="2" t="s">
        <v>528</v>
      </c>
      <c r="D97" s="2" t="s">
        <v>20</v>
      </c>
      <c r="E97" s="2">
        <v>195</v>
      </c>
      <c r="F97" s="2">
        <v>18.187677124006491</v>
      </c>
      <c r="G97" s="2">
        <v>-72.924638130174145</v>
      </c>
      <c r="H97" s="8" t="str">
        <f>HYPERLINK(CONCATENATE("https://faluhong.users.earthengine.app/view/hispaniola-lc-validation#id=PF96;lat=18.187677124006495;lon=-72.92463813017415;year=2000;bf=40;level=18;"), "landsat_time_series")</f>
        <v>landsat_time_series</v>
      </c>
      <c r="I97" s="8" t="str">
        <f>HYPERLINK(CONCATENATE("https://jstnbraaten.users.earthengine.app/view/landsat-timeseries-explorer#run=true;lon=-72.92463813017415;lat=18.187677124006495;from=01-01;to=12-31;index=NBR;rgb=NIR%2FRED%2FGREEN;chipwidth=1;"), "landsat_chips")</f>
        <v>landsat_chips</v>
      </c>
      <c r="J97" s="8" t="str">
        <f>HYPERLINK(CONCATENATE("https://livingatlas.arcgis.com/wayback/#ext=-72.92563813017415,18.188677124006496,-72.92363813017414,18.186677124006494"), "wayback")</f>
        <v>wayback</v>
      </c>
      <c r="K97" s="2" t="s">
        <v>422</v>
      </c>
      <c r="L97" s="5"/>
      <c r="M97" s="5" t="s">
        <v>422</v>
      </c>
      <c r="N97" s="5"/>
    </row>
    <row r="98" spans="1:14" x14ac:dyDescent="0.35">
      <c r="A98" s="2">
        <v>97</v>
      </c>
      <c r="B98" s="2" t="s">
        <v>426</v>
      </c>
      <c r="C98" s="2" t="s">
        <v>529</v>
      </c>
      <c r="D98" s="2" t="s">
        <v>20</v>
      </c>
      <c r="E98" s="2">
        <v>304</v>
      </c>
      <c r="F98" s="2">
        <v>19.0074727002347</v>
      </c>
      <c r="G98" s="2">
        <v>-71.992631990289425</v>
      </c>
      <c r="H98" s="8" t="str">
        <f>HYPERLINK(CONCATENATE("https://faluhong.users.earthengine.app/view/hispaniola-lc-validation#id=PF97;lat=19.0074727002347;lon=-71.99263199028942;year=2000;bf=40;level=18;"), "landsat_time_series")</f>
        <v>landsat_time_series</v>
      </c>
      <c r="I98" s="8" t="str">
        <f>HYPERLINK(CONCATENATE("https://jstnbraaten.users.earthengine.app/view/landsat-timeseries-explorer#run=true;lon=-71.99263199028942;lat=19.0074727002347;from=01-01;to=12-31;index=NBR;rgb=NIR%2FRED%2FGREEN;chipwidth=1;"), "landsat_chips")</f>
        <v>landsat_chips</v>
      </c>
      <c r="J98" s="8" t="str">
        <f>HYPERLINK(CONCATENATE("https://livingatlas.arcgis.com/wayback/#ext=-71.99363199028943,19.0084727002347,-71.99163199028942,19.0064727002347"), "wayback")</f>
        <v>wayback</v>
      </c>
      <c r="K98" s="2" t="s">
        <v>422</v>
      </c>
      <c r="L98" s="5"/>
      <c r="M98" s="5" t="s">
        <v>422</v>
      </c>
      <c r="N98" s="5"/>
    </row>
    <row r="99" spans="1:14" x14ac:dyDescent="0.35">
      <c r="A99" s="2">
        <v>98</v>
      </c>
      <c r="B99" s="2" t="s">
        <v>426</v>
      </c>
      <c r="C99" s="2" t="s">
        <v>530</v>
      </c>
      <c r="D99" s="2" t="s">
        <v>20</v>
      </c>
      <c r="E99" s="2">
        <v>247</v>
      </c>
      <c r="F99" s="2">
        <v>18.542856975845019</v>
      </c>
      <c r="G99" s="2">
        <v>-74.088152834001448</v>
      </c>
      <c r="H99" s="8" t="str">
        <f>HYPERLINK(CONCATENATE("https://faluhong.users.earthengine.app/view/hispaniola-lc-validation#id=PF98;lat=18.542856975845016;lon=-74.08815283400145;year=2000;bf=40;level=18;"), "landsat_time_series")</f>
        <v>landsat_time_series</v>
      </c>
      <c r="I99" s="8" t="str">
        <f>HYPERLINK(CONCATENATE("https://jstnbraaten.users.earthengine.app/view/landsat-timeseries-explorer#run=true;lon=-74.08815283400145;lat=18.542856975845016;from=01-01;to=12-31;index=NBR;rgb=NIR%2FRED%2FGREEN;chipwidth=1;"), "landsat_chips")</f>
        <v>landsat_chips</v>
      </c>
      <c r="J99" s="8" t="str">
        <f>HYPERLINK(CONCATENATE("https://livingatlas.arcgis.com/wayback/#ext=-74.08915283400145,18.543856975845017,-74.08715283400144,18.541856975845015"), "wayback")</f>
        <v>wayback</v>
      </c>
      <c r="K99" s="2" t="s">
        <v>422</v>
      </c>
      <c r="L99" s="5"/>
      <c r="M99" s="5" t="s">
        <v>422</v>
      </c>
      <c r="N99" s="5"/>
    </row>
    <row r="100" spans="1:14" x14ac:dyDescent="0.35">
      <c r="A100" s="2">
        <v>99</v>
      </c>
      <c r="B100" s="2" t="s">
        <v>426</v>
      </c>
      <c r="C100" s="2" t="s">
        <v>531</v>
      </c>
      <c r="D100" s="2" t="s">
        <v>10</v>
      </c>
      <c r="E100" s="2">
        <v>159</v>
      </c>
      <c r="F100" s="2">
        <v>18.442982214681681</v>
      </c>
      <c r="G100" s="2">
        <v>-71.096630267599537</v>
      </c>
      <c r="H100" s="8" t="str">
        <f>HYPERLINK(CONCATENATE("https://faluhong.users.earthengine.app/view/hispaniola-lc-validation#id=PF99;lat=18.442982214681685;lon=-71.09663026759954;year=2000;bf=40;level=18;"), "landsat_time_series")</f>
        <v>landsat_time_series</v>
      </c>
      <c r="I100" s="8" t="str">
        <f>HYPERLINK(CONCATENATE("https://jstnbraaten.users.earthengine.app/view/landsat-timeseries-explorer#run=true;lon=-71.09663026759954;lat=18.442982214681685;from=01-01;to=12-31;index=NBR;rgb=NIR%2FRED%2FGREEN;chipwidth=1;"), "landsat_chips")</f>
        <v>landsat_chips</v>
      </c>
      <c r="J100" s="8" t="str">
        <f>HYPERLINK(CONCATENATE("https://livingatlas.arcgis.com/wayback/#ext=-71.09763026759954,18.443982214681686,-71.09563026759953,18.441982214681683"), "wayback")</f>
        <v>wayback</v>
      </c>
      <c r="K100" s="2" t="s">
        <v>422</v>
      </c>
      <c r="L100" s="5"/>
      <c r="M100" s="5" t="s">
        <v>422</v>
      </c>
      <c r="N100" s="5"/>
    </row>
    <row r="101" spans="1:14" x14ac:dyDescent="0.35">
      <c r="A101" s="2">
        <v>100</v>
      </c>
      <c r="B101" s="2" t="s">
        <v>426</v>
      </c>
      <c r="C101" s="2" t="s">
        <v>532</v>
      </c>
      <c r="D101" s="2" t="s">
        <v>10</v>
      </c>
      <c r="E101" s="2">
        <v>2133</v>
      </c>
      <c r="F101" s="2">
        <v>19.035400881944199</v>
      </c>
      <c r="G101" s="2">
        <v>-71.125049657662416</v>
      </c>
      <c r="H101" s="8" t="str">
        <f>HYPERLINK(CONCATENATE("https://faluhong.users.earthengine.app/view/hispaniola-lc-validation#id=PF100;lat=19.035400881944195;lon=-71.12504965766242;year=2000;bf=40;level=18;"), "landsat_time_series")</f>
        <v>landsat_time_series</v>
      </c>
      <c r="I101" s="8" t="str">
        <f>HYPERLINK(CONCATENATE("https://jstnbraaten.users.earthengine.app/view/landsat-timeseries-explorer#run=true;lon=-71.12504965766242;lat=19.035400881944195;from=01-01;to=12-31;index=NBR;rgb=NIR%2FRED%2FGREEN;chipwidth=1;"), "landsat_chips")</f>
        <v>landsat_chips</v>
      </c>
      <c r="J101" s="8" t="str">
        <f>HYPERLINK(CONCATENATE("https://livingatlas.arcgis.com/wayback/#ext=-71.12604965766242,19.036400881944196,-71.12404965766241,19.034400881944194"), "wayback")</f>
        <v>wayback</v>
      </c>
      <c r="K101" s="2" t="s">
        <v>418</v>
      </c>
      <c r="L101" s="5"/>
      <c r="M101" s="5" t="s">
        <v>418</v>
      </c>
      <c r="N101" s="5" t="s">
        <v>420</v>
      </c>
    </row>
    <row r="102" spans="1:14" x14ac:dyDescent="0.35">
      <c r="A102" s="2">
        <v>101</v>
      </c>
      <c r="B102" s="2" t="s">
        <v>426</v>
      </c>
      <c r="C102" s="2" t="s">
        <v>533</v>
      </c>
      <c r="D102" s="2" t="s">
        <v>10</v>
      </c>
      <c r="E102" s="2">
        <v>131</v>
      </c>
      <c r="F102" s="2">
        <v>19.62769361514259</v>
      </c>
      <c r="G102" s="2">
        <v>-70.233841599966766</v>
      </c>
      <c r="H102" s="8" t="str">
        <f>HYPERLINK(CONCATENATE("https://faluhong.users.earthengine.app/view/hispaniola-lc-validation#id=PF101;lat=19.627693615142594;lon=-70.23384159996677;year=2000;bf=40;level=18;"), "landsat_time_series")</f>
        <v>landsat_time_series</v>
      </c>
      <c r="I102" s="8" t="str">
        <f>HYPERLINK(CONCATENATE("https://jstnbraaten.users.earthengine.app/view/landsat-timeseries-explorer#run=true;lon=-70.23384159996677;lat=19.627693615142594;from=01-01;to=12-31;index=NBR;rgb=NIR%2FRED%2FGREEN;chipwidth=1;"), "landsat_chips")</f>
        <v>landsat_chips</v>
      </c>
      <c r="J102" s="8" t="str">
        <f>HYPERLINK(CONCATENATE("https://livingatlas.arcgis.com/wayback/#ext=-70.23484159996677,19.628693615142595,-70.23284159996676,19.626693615142592"), "wayback")</f>
        <v>wayback</v>
      </c>
      <c r="K102" s="2" t="s">
        <v>422</v>
      </c>
      <c r="L102" s="5"/>
      <c r="M102" s="5" t="s">
        <v>422</v>
      </c>
      <c r="N102" s="5"/>
    </row>
    <row r="103" spans="1:14" x14ac:dyDescent="0.35">
      <c r="A103" s="2">
        <v>102</v>
      </c>
      <c r="B103" s="2" t="s">
        <v>426</v>
      </c>
      <c r="C103" s="2" t="s">
        <v>534</v>
      </c>
      <c r="D103" s="2" t="s">
        <v>20</v>
      </c>
      <c r="E103" s="2">
        <v>120</v>
      </c>
      <c r="F103" s="2">
        <v>19.746006961746229</v>
      </c>
      <c r="G103" s="2">
        <v>-72.36223515401359</v>
      </c>
      <c r="H103" s="8" t="str">
        <f>HYPERLINK(CONCATENATE("https://faluhong.users.earthengine.app/view/hispaniola-lc-validation#id=PF102;lat=19.746006961746225;lon=-72.36223515401359;year=2000;bf=40;level=18;"), "landsat_time_series")</f>
        <v>landsat_time_series</v>
      </c>
      <c r="I103" s="8" t="str">
        <f>HYPERLINK(CONCATENATE("https://jstnbraaten.users.earthengine.app/view/landsat-timeseries-explorer#run=true;lon=-72.36223515401359;lat=19.746006961746225;from=01-01;to=12-31;index=NBR;rgb=NIR%2FRED%2FGREEN;chipwidth=1;"), "landsat_chips")</f>
        <v>landsat_chips</v>
      </c>
      <c r="J103" s="8" t="str">
        <f>HYPERLINK(CONCATENATE("https://livingatlas.arcgis.com/wayback/#ext=-72.3632351540136,19.747006961746226,-72.36123515401358,19.745006961746224"), "wayback")</f>
        <v>wayback</v>
      </c>
      <c r="K103" s="2" t="s">
        <v>422</v>
      </c>
      <c r="L103" s="5"/>
      <c r="M103" s="5" t="s">
        <v>422</v>
      </c>
      <c r="N103" s="5"/>
    </row>
    <row r="104" spans="1:14" x14ac:dyDescent="0.35">
      <c r="A104" s="2">
        <v>103</v>
      </c>
      <c r="B104" s="2" t="s">
        <v>426</v>
      </c>
      <c r="C104" s="2" t="s">
        <v>535</v>
      </c>
      <c r="D104" s="2" t="s">
        <v>10</v>
      </c>
      <c r="E104" s="2">
        <v>636</v>
      </c>
      <c r="F104" s="2">
        <v>19.286058077062179</v>
      </c>
      <c r="G104" s="2">
        <v>-70.984064044076419</v>
      </c>
      <c r="H104" s="8" t="str">
        <f>HYPERLINK(CONCATENATE("https://faluhong.users.earthengine.app/view/hispaniola-lc-validation#id=PF103;lat=19.286058077062176;lon=-70.98406404407642;year=2000;bf=40;level=18;"), "landsat_time_series")</f>
        <v>landsat_time_series</v>
      </c>
      <c r="I104" s="8" t="str">
        <f>HYPERLINK(CONCATENATE("https://jstnbraaten.users.earthengine.app/view/landsat-timeseries-explorer#run=true;lon=-70.98406404407642;lat=19.286058077062176;from=01-01;to=12-31;index=NBR;rgb=NIR%2FRED%2FGREEN;chipwidth=1;"), "landsat_chips")</f>
        <v>landsat_chips</v>
      </c>
      <c r="J104" s="8" t="str">
        <f>HYPERLINK(CONCATENATE("https://livingatlas.arcgis.com/wayback/#ext=-70.98506404407642,19.287058077062177,-70.98306404407641,19.285058077062175"), "wayback")</f>
        <v>wayback</v>
      </c>
      <c r="K104" s="2" t="s">
        <v>422</v>
      </c>
      <c r="L104" s="5"/>
      <c r="M104" s="5" t="s">
        <v>422</v>
      </c>
      <c r="N104" s="5"/>
    </row>
    <row r="105" spans="1:14" x14ac:dyDescent="0.35">
      <c r="A105" s="2">
        <v>104</v>
      </c>
      <c r="B105" s="2" t="s">
        <v>426</v>
      </c>
      <c r="C105" s="2" t="s">
        <v>536</v>
      </c>
      <c r="D105" s="2" t="s">
        <v>10</v>
      </c>
      <c r="E105" s="2">
        <v>73</v>
      </c>
      <c r="F105" s="2">
        <v>18.476217523696441</v>
      </c>
      <c r="G105" s="2">
        <v>-68.797614296432428</v>
      </c>
      <c r="H105" s="8" t="str">
        <f>HYPERLINK(CONCATENATE("https://faluhong.users.earthengine.app/view/hispaniola-lc-validation#id=PF104;lat=18.47621752369644;lon=-68.79761429643243;year=2000;bf=40;level=18;"), "landsat_time_series")</f>
        <v>landsat_time_series</v>
      </c>
      <c r="I105" s="8" t="str">
        <f>HYPERLINK(CONCATENATE("https://jstnbraaten.users.earthengine.app/view/landsat-timeseries-explorer#run=true;lon=-68.79761429643243;lat=18.47621752369644;from=01-01;to=12-31;index=NBR;rgb=NIR%2FRED%2FGREEN;chipwidth=1;"), "landsat_chips")</f>
        <v>landsat_chips</v>
      </c>
      <c r="J105" s="8" t="str">
        <f>HYPERLINK(CONCATENATE("https://livingatlas.arcgis.com/wayback/#ext=-68.79861429643243,18.477217523696442,-68.79661429643242,18.47521752369644"), "wayback")</f>
        <v>wayback</v>
      </c>
      <c r="K105" s="2" t="s">
        <v>422</v>
      </c>
      <c r="L105" s="5"/>
      <c r="M105" s="5" t="s">
        <v>422</v>
      </c>
      <c r="N105" s="5"/>
    </row>
    <row r="106" spans="1:14" x14ac:dyDescent="0.35">
      <c r="A106" s="2">
        <v>105</v>
      </c>
      <c r="B106" s="2" t="s">
        <v>426</v>
      </c>
      <c r="C106" s="2" t="s">
        <v>537</v>
      </c>
      <c r="D106" s="2" t="s">
        <v>10</v>
      </c>
      <c r="E106" s="2">
        <v>1015</v>
      </c>
      <c r="F106" s="2">
        <v>18.563825668314092</v>
      </c>
      <c r="G106" s="2">
        <v>-70.44612266725234</v>
      </c>
      <c r="H106" s="8" t="str">
        <f>HYPERLINK(CONCATENATE("https://faluhong.users.earthengine.app/view/hispaniola-lc-validation#id=PF105;lat=18.563825668314088;lon=-70.44612266725234;year=2000;bf=40;level=18;"), "landsat_time_series")</f>
        <v>landsat_time_series</v>
      </c>
      <c r="I106" s="8" t="str">
        <f>HYPERLINK(CONCATENATE("https://jstnbraaten.users.earthengine.app/view/landsat-timeseries-explorer#run=true;lon=-70.44612266725234;lat=18.563825668314088;from=01-01;to=12-31;index=NBR;rgb=NIR%2FRED%2FGREEN;chipwidth=1;"), "landsat_chips")</f>
        <v>landsat_chips</v>
      </c>
      <c r="J106" s="8" t="str">
        <f>HYPERLINK(CONCATENATE("https://livingatlas.arcgis.com/wayback/#ext=-70.44712266725234,18.56482566831409,-70.44512266725233,18.562825668314087"), "wayback")</f>
        <v>wayback</v>
      </c>
      <c r="K106" s="2" t="s">
        <v>422</v>
      </c>
      <c r="L106" s="5"/>
      <c r="M106" s="5" t="s">
        <v>422</v>
      </c>
      <c r="N106" s="5"/>
    </row>
    <row r="107" spans="1:14" x14ac:dyDescent="0.35">
      <c r="A107" s="2">
        <v>106</v>
      </c>
      <c r="B107" s="2" t="s">
        <v>426</v>
      </c>
      <c r="C107" s="2" t="s">
        <v>538</v>
      </c>
      <c r="D107" s="2" t="s">
        <v>20</v>
      </c>
      <c r="E107" s="2">
        <v>926</v>
      </c>
      <c r="F107" s="2">
        <v>18.69926255498228</v>
      </c>
      <c r="G107" s="2">
        <v>-71.92160780382369</v>
      </c>
      <c r="H107" s="8" t="str">
        <f>HYPERLINK(CONCATENATE("https://faluhong.users.earthengine.app/view/hispaniola-lc-validation#id=PF106;lat=18.699262554982276;lon=-71.92160780382369;year=2000;bf=40;level=18;"), "landsat_time_series")</f>
        <v>landsat_time_series</v>
      </c>
      <c r="I107" s="8" t="str">
        <f>HYPERLINK(CONCATENATE("https://jstnbraaten.users.earthengine.app/view/landsat-timeseries-explorer#run=true;lon=-71.92160780382369;lat=18.699262554982276;from=01-01;to=12-31;index=NBR;rgb=NIR%2FRED%2FGREEN;chipwidth=1;"), "landsat_chips")</f>
        <v>landsat_chips</v>
      </c>
      <c r="J107" s="8" t="str">
        <f>HYPERLINK(CONCATENATE("https://livingatlas.arcgis.com/wayback/#ext=-71.9226078038237,18.700262554982277,-71.92060780382369,18.698262554982275"), "wayback")</f>
        <v>wayback</v>
      </c>
      <c r="K107" s="2" t="s">
        <v>422</v>
      </c>
      <c r="L107" s="5"/>
      <c r="M107" s="5" t="s">
        <v>422</v>
      </c>
      <c r="N107" s="5"/>
    </row>
    <row r="108" spans="1:14" x14ac:dyDescent="0.35">
      <c r="A108" s="2">
        <v>107</v>
      </c>
      <c r="B108" s="2" t="s">
        <v>426</v>
      </c>
      <c r="C108" s="2" t="s">
        <v>539</v>
      </c>
      <c r="D108" s="2" t="s">
        <v>10</v>
      </c>
      <c r="E108" s="2">
        <v>469</v>
      </c>
      <c r="F108" s="2">
        <v>19.313807087148131</v>
      </c>
      <c r="G108" s="2">
        <v>-70.847143367811469</v>
      </c>
      <c r="H108" s="8" t="str">
        <f>HYPERLINK(CONCATENATE("https://faluhong.users.earthengine.app/view/hispaniola-lc-validation#id=PF107;lat=19.313807087148128;lon=-70.84714336781147;year=2000;bf=40;level=18;"), "landsat_time_series")</f>
        <v>landsat_time_series</v>
      </c>
      <c r="I108" s="8" t="str">
        <f>HYPERLINK(CONCATENATE("https://jstnbraaten.users.earthengine.app/view/landsat-timeseries-explorer#run=true;lon=-70.84714336781147;lat=19.313807087148128;from=01-01;to=12-31;index=NBR;rgb=NIR%2FRED%2FGREEN;chipwidth=1;"), "landsat_chips")</f>
        <v>landsat_chips</v>
      </c>
      <c r="J108" s="8" t="str">
        <f>HYPERLINK(CONCATENATE("https://livingatlas.arcgis.com/wayback/#ext=-70.84814336781147,19.31480708714813,-70.84614336781146,19.312807087148126"), "wayback")</f>
        <v>wayback</v>
      </c>
      <c r="K108" s="2" t="s">
        <v>422</v>
      </c>
      <c r="L108" s="5"/>
      <c r="M108" s="5" t="s">
        <v>422</v>
      </c>
      <c r="N108" s="5"/>
    </row>
    <row r="109" spans="1:14" x14ac:dyDescent="0.35">
      <c r="A109" s="2">
        <v>108</v>
      </c>
      <c r="B109" s="2" t="s">
        <v>426</v>
      </c>
      <c r="C109" s="2" t="s">
        <v>540</v>
      </c>
      <c r="D109" s="2" t="s">
        <v>10</v>
      </c>
      <c r="E109" s="2">
        <v>20</v>
      </c>
      <c r="F109" s="2">
        <v>19.524740475126119</v>
      </c>
      <c r="G109" s="2">
        <v>-70.010202811052466</v>
      </c>
      <c r="H109" s="8" t="str">
        <f>HYPERLINK(CONCATENATE("https://faluhong.users.earthengine.app/view/hispaniola-lc-validation#id=PF108;lat=19.524740475126116;lon=-70.01020281105247;year=2000;bf=40;level=18;"), "landsat_time_series")</f>
        <v>landsat_time_series</v>
      </c>
      <c r="I109" s="8" t="str">
        <f>HYPERLINK(CONCATENATE("https://jstnbraaten.users.earthengine.app/view/landsat-timeseries-explorer#run=true;lon=-70.01020281105247;lat=19.524740475126116;from=01-01;to=12-31;index=NBR;rgb=NIR%2FRED%2FGREEN;chipwidth=1;"), "landsat_chips")</f>
        <v>landsat_chips</v>
      </c>
      <c r="J109" s="8" t="str">
        <f>HYPERLINK(CONCATENATE("https://livingatlas.arcgis.com/wayback/#ext=-70.01120281105247,19.525740475126117,-70.00920281105246,19.523740475126115"), "wayback")</f>
        <v>wayback</v>
      </c>
      <c r="K109" s="2" t="s">
        <v>422</v>
      </c>
      <c r="L109" s="5"/>
      <c r="M109" s="5" t="s">
        <v>422</v>
      </c>
      <c r="N109" s="5"/>
    </row>
    <row r="110" spans="1:14" x14ac:dyDescent="0.35">
      <c r="A110" s="2">
        <v>109</v>
      </c>
      <c r="B110" s="2" t="s">
        <v>426</v>
      </c>
      <c r="C110" s="2" t="s">
        <v>541</v>
      </c>
      <c r="D110" s="2" t="s">
        <v>10</v>
      </c>
      <c r="E110" s="2">
        <v>110</v>
      </c>
      <c r="F110" s="2">
        <v>18.697922584369461</v>
      </c>
      <c r="G110" s="2">
        <v>-68.675006238878268</v>
      </c>
      <c r="H110" s="8" t="str">
        <f>HYPERLINK(CONCATENATE("https://faluhong.users.earthengine.app/view/hispaniola-lc-validation#id=PF109;lat=18.697922584369458;lon=-68.67500623887827;year=2000;bf=40;level=18;"), "landsat_time_series")</f>
        <v>landsat_time_series</v>
      </c>
      <c r="I110" s="8" t="str">
        <f>HYPERLINK(CONCATENATE("https://jstnbraaten.users.earthengine.app/view/landsat-timeseries-explorer#run=true;lon=-68.67500623887827;lat=18.697922584369458;from=01-01;to=12-31;index=NBR;rgb=NIR%2FRED%2FGREEN;chipwidth=1;"), "landsat_chips")</f>
        <v>landsat_chips</v>
      </c>
      <c r="J110" s="8" t="str">
        <f>HYPERLINK(CONCATENATE("https://livingatlas.arcgis.com/wayback/#ext=-68.67600623887827,18.69892258436946,-68.67400623887826,18.696922584369457"), "wayback")</f>
        <v>wayback</v>
      </c>
      <c r="K110" s="2" t="s">
        <v>422</v>
      </c>
      <c r="L110" s="5"/>
      <c r="M110" s="5" t="s">
        <v>422</v>
      </c>
      <c r="N110" s="5"/>
    </row>
    <row r="111" spans="1:14" x14ac:dyDescent="0.35">
      <c r="A111" s="2">
        <v>110</v>
      </c>
      <c r="B111" s="2" t="s">
        <v>426</v>
      </c>
      <c r="C111" s="2" t="s">
        <v>542</v>
      </c>
      <c r="D111" s="2" t="s">
        <v>10</v>
      </c>
      <c r="E111" s="2">
        <v>1324</v>
      </c>
      <c r="F111" s="2">
        <v>18.14529282707397</v>
      </c>
      <c r="G111" s="2">
        <v>-71.507030865927575</v>
      </c>
      <c r="H111" s="8" t="str">
        <f>HYPERLINK(CONCATENATE("https://faluhong.users.earthengine.app/view/hispaniola-lc-validation#id=PF110;lat=18.145292827073973;lon=-71.50703086592758;year=2000;bf=40;level=18;"), "landsat_time_series")</f>
        <v>landsat_time_series</v>
      </c>
      <c r="I111" s="8" t="str">
        <f>HYPERLINK(CONCATENATE("https://jstnbraaten.users.earthengine.app/view/landsat-timeseries-explorer#run=true;lon=-71.50703086592758;lat=18.145292827073973;from=01-01;to=12-31;index=NBR;rgb=NIR%2FRED%2FGREEN;chipwidth=1;"), "landsat_chips")</f>
        <v>landsat_chips</v>
      </c>
      <c r="J111" s="8" t="str">
        <f>HYPERLINK(CONCATENATE("https://livingatlas.arcgis.com/wayback/#ext=-71.50803086592758,18.146292827073975,-71.50603086592757,18.144292827073972"), "wayback")</f>
        <v>wayback</v>
      </c>
      <c r="K111" s="2" t="s">
        <v>418</v>
      </c>
      <c r="L111" s="5"/>
      <c r="M111" s="5" t="s">
        <v>422</v>
      </c>
      <c r="N111" s="5"/>
    </row>
    <row r="112" spans="1:14" x14ac:dyDescent="0.35">
      <c r="A112" s="2">
        <v>111</v>
      </c>
      <c r="B112" s="2" t="s">
        <v>426</v>
      </c>
      <c r="C112" s="2" t="s">
        <v>543</v>
      </c>
      <c r="D112" s="2" t="s">
        <v>20</v>
      </c>
      <c r="E112" s="2">
        <v>338</v>
      </c>
      <c r="F112" s="2">
        <v>19.806021693536671</v>
      </c>
      <c r="G112" s="2">
        <v>-72.758901566368053</v>
      </c>
      <c r="H112" s="8" t="str">
        <f>HYPERLINK(CONCATENATE("https://faluhong.users.earthengine.app/view/hispaniola-lc-validation#id=PF111;lat=19.80602169353667;lon=-72.75890156636805;year=2000;bf=40;level=18;"), "landsat_time_series")</f>
        <v>landsat_time_series</v>
      </c>
      <c r="I112" s="8" t="str">
        <f>HYPERLINK(CONCATENATE("https://jstnbraaten.users.earthengine.app/view/landsat-timeseries-explorer#run=true;lon=-72.75890156636805;lat=19.80602169353667;from=01-01;to=12-31;index=NBR;rgb=NIR%2FRED%2FGREEN;chipwidth=1;"), "landsat_chips")</f>
        <v>landsat_chips</v>
      </c>
      <c r="J112" s="8" t="str">
        <f>HYPERLINK(CONCATENATE("https://livingatlas.arcgis.com/wayback/#ext=-72.75990156636806,19.807021693536672,-72.75790156636805,19.80502169353667"), "wayback")</f>
        <v>wayback</v>
      </c>
      <c r="K112" s="2" t="s">
        <v>422</v>
      </c>
      <c r="L112" s="5"/>
      <c r="M112" s="5" t="s">
        <v>422</v>
      </c>
      <c r="N112" s="5"/>
    </row>
    <row r="113" spans="1:14" x14ac:dyDescent="0.35">
      <c r="A113" s="2">
        <v>112</v>
      </c>
      <c r="B113" s="2" t="s">
        <v>426</v>
      </c>
      <c r="C113" s="2" t="s">
        <v>544</v>
      </c>
      <c r="D113" s="2" t="s">
        <v>20</v>
      </c>
      <c r="E113" s="2">
        <v>322</v>
      </c>
      <c r="F113" s="2">
        <v>19.095505156656269</v>
      </c>
      <c r="G113" s="2">
        <v>-72.035465019010374</v>
      </c>
      <c r="H113" s="8" t="str">
        <f>HYPERLINK(CONCATENATE("https://faluhong.users.earthengine.app/view/hispaniola-lc-validation#id=PF112;lat=19.095505156656266;lon=-72.03546501901037;year=2000;bf=40;level=18;"), "landsat_time_series")</f>
        <v>landsat_time_series</v>
      </c>
      <c r="I113" s="8" t="str">
        <f>HYPERLINK(CONCATENATE("https://jstnbraaten.users.earthengine.app/view/landsat-timeseries-explorer#run=true;lon=-72.03546501901037;lat=19.095505156656266;from=01-01;to=12-31;index=NBR;rgb=NIR%2FRED%2FGREEN;chipwidth=1;"), "landsat_chips")</f>
        <v>landsat_chips</v>
      </c>
      <c r="J113" s="8" t="str">
        <f>HYPERLINK(CONCATENATE("https://livingatlas.arcgis.com/wayback/#ext=-72.03646501901038,19.096505156656267,-72.03446501901037,19.094505156656265"), "wayback")</f>
        <v>wayback</v>
      </c>
      <c r="K113" s="2" t="s">
        <v>422</v>
      </c>
      <c r="L113" s="5"/>
      <c r="M113" s="5" t="s">
        <v>422</v>
      </c>
      <c r="N113" s="5"/>
    </row>
    <row r="114" spans="1:14" x14ac:dyDescent="0.35">
      <c r="A114" s="2">
        <v>113</v>
      </c>
      <c r="B114" s="2" t="s">
        <v>426</v>
      </c>
      <c r="C114" s="2" t="s">
        <v>545</v>
      </c>
      <c r="D114" s="2" t="s">
        <v>20</v>
      </c>
      <c r="E114" s="2">
        <v>948</v>
      </c>
      <c r="F114" s="2">
        <v>18.225483206456289</v>
      </c>
      <c r="G114" s="2">
        <v>-71.767934827538639</v>
      </c>
      <c r="H114" s="8" t="str">
        <f>HYPERLINK(CONCATENATE("https://faluhong.users.earthengine.app/view/hispaniola-lc-validation#id=PF113;lat=18.225483206456293;lon=-71.76793482753864;year=2000;bf=40;level=18;"), "landsat_time_series")</f>
        <v>landsat_time_series</v>
      </c>
      <c r="I114" s="8" t="str">
        <f>HYPERLINK(CONCATENATE("https://jstnbraaten.users.earthengine.app/view/landsat-timeseries-explorer#run=true;lon=-71.76793482753864;lat=18.225483206456293;from=01-01;to=12-31;index=NBR;rgb=NIR%2FRED%2FGREEN;chipwidth=1;"), "landsat_chips")</f>
        <v>landsat_chips</v>
      </c>
      <c r="J114" s="8" t="str">
        <f>HYPERLINK(CONCATENATE("https://livingatlas.arcgis.com/wayback/#ext=-71.76893482753864,18.226483206456294,-71.76693482753863,18.22448320645629"), "wayback")</f>
        <v>wayback</v>
      </c>
      <c r="K114" s="2" t="s">
        <v>422</v>
      </c>
      <c r="L114" s="5"/>
      <c r="M114" s="5" t="s">
        <v>422</v>
      </c>
      <c r="N114" s="5"/>
    </row>
    <row r="115" spans="1:14" x14ac:dyDescent="0.35">
      <c r="A115" s="2">
        <v>114</v>
      </c>
      <c r="B115" s="2" t="s">
        <v>426</v>
      </c>
      <c r="C115" s="2" t="s">
        <v>546</v>
      </c>
      <c r="D115" s="2" t="s">
        <v>10</v>
      </c>
      <c r="E115" s="2">
        <v>2</v>
      </c>
      <c r="F115" s="2">
        <v>18.422672768055669</v>
      </c>
      <c r="G115" s="2">
        <v>-71.301544475085365</v>
      </c>
      <c r="H115" s="8" t="str">
        <f>HYPERLINK(CONCATENATE("https://faluhong.users.earthengine.app/view/hispaniola-lc-validation#id=PF114;lat=18.422672768055673;lon=-71.30154447508536;year=2000;bf=40;level=18;"), "landsat_time_series")</f>
        <v>landsat_time_series</v>
      </c>
      <c r="I115" s="8" t="str">
        <f>HYPERLINK(CONCATENATE("https://jstnbraaten.users.earthengine.app/view/landsat-timeseries-explorer#run=true;lon=-71.30154447508536;lat=18.422672768055673;from=01-01;to=12-31;index=NBR;rgb=NIR%2FRED%2FGREEN;chipwidth=1;"), "landsat_chips")</f>
        <v>landsat_chips</v>
      </c>
      <c r="J115" s="8" t="str">
        <f>HYPERLINK(CONCATENATE("https://livingatlas.arcgis.com/wayback/#ext=-71.30254447508537,18.423672768055674,-71.30054447508536,18.42167276805567"), "wayback")</f>
        <v>wayback</v>
      </c>
      <c r="K115" s="2" t="s">
        <v>422</v>
      </c>
      <c r="L115" s="5"/>
      <c r="M115" s="5" t="s">
        <v>422</v>
      </c>
      <c r="N115" s="5"/>
    </row>
    <row r="116" spans="1:14" x14ac:dyDescent="0.35">
      <c r="A116" s="2">
        <v>115</v>
      </c>
      <c r="B116" s="2" t="s">
        <v>426</v>
      </c>
      <c r="C116" s="2" t="s">
        <v>547</v>
      </c>
      <c r="D116" s="2" t="s">
        <v>20</v>
      </c>
      <c r="E116" s="2">
        <v>180</v>
      </c>
      <c r="F116" s="2">
        <v>19.394521418314639</v>
      </c>
      <c r="G116" s="2">
        <v>-72.542403327880834</v>
      </c>
      <c r="H116" s="8" t="str">
        <f>HYPERLINK(CONCATENATE("https://faluhong.users.earthengine.app/view/hispaniola-lc-validation#id=PF115;lat=19.39452141831464;lon=-72.54240332788083;year=2000;bf=40;level=18;"), "landsat_time_series")</f>
        <v>landsat_time_series</v>
      </c>
      <c r="I116" s="8" t="str">
        <f>HYPERLINK(CONCATENATE("https://jstnbraaten.users.earthengine.app/view/landsat-timeseries-explorer#run=true;lon=-72.54240332788083;lat=19.39452141831464;from=01-01;to=12-31;index=NBR;rgb=NIR%2FRED%2FGREEN;chipwidth=1;"), "landsat_chips")</f>
        <v>landsat_chips</v>
      </c>
      <c r="J116" s="8" t="str">
        <f>HYPERLINK(CONCATENATE("https://livingatlas.arcgis.com/wayback/#ext=-72.54340332788084,19.39552141831464,-72.54140332788083,19.393521418314638"), "wayback")</f>
        <v>wayback</v>
      </c>
      <c r="K116" s="2" t="s">
        <v>422</v>
      </c>
      <c r="L116" s="5"/>
      <c r="M116" s="5" t="s">
        <v>422</v>
      </c>
      <c r="N116" s="5"/>
    </row>
    <row r="117" spans="1:14" x14ac:dyDescent="0.35">
      <c r="A117" s="2">
        <v>116</v>
      </c>
      <c r="B117" s="2" t="s">
        <v>426</v>
      </c>
      <c r="C117" s="2" t="s">
        <v>548</v>
      </c>
      <c r="D117" s="2" t="s">
        <v>20</v>
      </c>
      <c r="E117" s="2">
        <v>12</v>
      </c>
      <c r="F117" s="2">
        <v>18.517641061669099</v>
      </c>
      <c r="G117" s="2">
        <v>-73.474373440193361</v>
      </c>
      <c r="H117" s="8" t="str">
        <f>HYPERLINK(CONCATENATE("https://faluhong.users.earthengine.app/view/hispaniola-lc-validation#id=PF116;lat=18.5176410616691;lon=-73.47437344019336;year=2000;bf=40;level=18;"), "landsat_time_series")</f>
        <v>landsat_time_series</v>
      </c>
      <c r="I117" s="8" t="str">
        <f>HYPERLINK(CONCATENATE("https://jstnbraaten.users.earthengine.app/view/landsat-timeseries-explorer#run=true;lon=-73.47437344019336;lat=18.5176410616691;from=01-01;to=12-31;index=NBR;rgb=NIR%2FRED%2FGREEN;chipwidth=1;"), "landsat_chips")</f>
        <v>landsat_chips</v>
      </c>
      <c r="J117" s="8" t="str">
        <f>HYPERLINK(CONCATENATE("https://livingatlas.arcgis.com/wayback/#ext=-73.47537344019337,18.5186410616691,-73.47337344019336,18.516641061669098"), "wayback")</f>
        <v>wayback</v>
      </c>
      <c r="K117" s="2" t="s">
        <v>422</v>
      </c>
      <c r="L117" s="5"/>
      <c r="M117" s="5" t="s">
        <v>422</v>
      </c>
      <c r="N117" s="5"/>
    </row>
    <row r="118" spans="1:14" x14ac:dyDescent="0.35">
      <c r="A118" s="2">
        <v>117</v>
      </c>
      <c r="B118" s="2" t="s">
        <v>426</v>
      </c>
      <c r="C118" s="2" t="s">
        <v>549</v>
      </c>
      <c r="D118" s="2" t="s">
        <v>20</v>
      </c>
      <c r="E118" s="2">
        <v>18</v>
      </c>
      <c r="F118" s="2">
        <v>18.641191764338181</v>
      </c>
      <c r="G118" s="2">
        <v>-72.023493784067838</v>
      </c>
      <c r="H118" s="8" t="str">
        <f>HYPERLINK(CONCATENATE("https://faluhong.users.earthengine.app/view/hispaniola-lc-validation#id=PF117;lat=18.641191764338178;lon=-72.02349378406784;year=2000;bf=40;level=18;"), "landsat_time_series")</f>
        <v>landsat_time_series</v>
      </c>
      <c r="I118" s="8" t="str">
        <f>HYPERLINK(CONCATENATE("https://jstnbraaten.users.earthengine.app/view/landsat-timeseries-explorer#run=true;lon=-72.02349378406784;lat=18.641191764338178;from=01-01;to=12-31;index=NBR;rgb=NIR%2FRED%2FGREEN;chipwidth=1;"), "landsat_chips")</f>
        <v>landsat_chips</v>
      </c>
      <c r="J118" s="8" t="str">
        <f>HYPERLINK(CONCATENATE("https://livingatlas.arcgis.com/wayback/#ext=-72.02449378406784,18.64219176433818,-72.02249378406783,18.640191764338176"), "wayback")</f>
        <v>wayback</v>
      </c>
      <c r="K118" s="2" t="s">
        <v>422</v>
      </c>
      <c r="L118" s="5"/>
      <c r="M118" s="5" t="s">
        <v>422</v>
      </c>
      <c r="N118" s="5"/>
    </row>
    <row r="119" spans="1:14" x14ac:dyDescent="0.35">
      <c r="A119" s="2">
        <v>118</v>
      </c>
      <c r="B119" s="2" t="s">
        <v>426</v>
      </c>
      <c r="C119" s="2" t="s">
        <v>550</v>
      </c>
      <c r="D119" s="2" t="s">
        <v>10</v>
      </c>
      <c r="E119" s="2">
        <v>73</v>
      </c>
      <c r="F119" s="2">
        <v>18.527411166500212</v>
      </c>
      <c r="G119" s="2">
        <v>-68.639598587539268</v>
      </c>
      <c r="H119" s="8" t="str">
        <f>HYPERLINK(CONCATENATE("https://faluhong.users.earthengine.app/view/hispaniola-lc-validation#id=PF118;lat=18.52741116650021;lon=-68.63959858753927;year=2000;bf=40;level=18;"), "landsat_time_series")</f>
        <v>landsat_time_series</v>
      </c>
      <c r="I119" s="8" t="str">
        <f>HYPERLINK(CONCATENATE("https://jstnbraaten.users.earthengine.app/view/landsat-timeseries-explorer#run=true;lon=-68.63959858753927;lat=18.52741116650021;from=01-01;to=12-31;index=NBR;rgb=NIR%2FRED%2FGREEN;chipwidth=1;"), "landsat_chips")</f>
        <v>landsat_chips</v>
      </c>
      <c r="J119" s="8" t="str">
        <f>HYPERLINK(CONCATENATE("https://livingatlas.arcgis.com/wayback/#ext=-68.64059858753927,18.528411166500213,-68.63859858753926,18.52641116650021"), "wayback")</f>
        <v>wayback</v>
      </c>
      <c r="K119" s="2" t="s">
        <v>422</v>
      </c>
      <c r="L119" s="5"/>
      <c r="M119" s="5" t="s">
        <v>422</v>
      </c>
      <c r="N119" s="5"/>
    </row>
    <row r="120" spans="1:14" x14ac:dyDescent="0.35">
      <c r="A120" s="2">
        <v>119</v>
      </c>
      <c r="B120" s="2" t="s">
        <v>426</v>
      </c>
      <c r="C120" s="2" t="s">
        <v>551</v>
      </c>
      <c r="D120" s="2" t="s">
        <v>10</v>
      </c>
      <c r="E120" s="2">
        <v>57</v>
      </c>
      <c r="F120" s="2">
        <v>18.463765185377579</v>
      </c>
      <c r="G120" s="2">
        <v>-69.164992503644314</v>
      </c>
      <c r="H120" s="8" t="str">
        <f>HYPERLINK(CONCATENATE("https://faluhong.users.earthengine.app/view/hispaniola-lc-validation#id=PF119;lat=18.46376518537758;lon=-69.16499250364431;year=2000;bf=40;level=18;"), "landsat_time_series")</f>
        <v>landsat_time_series</v>
      </c>
      <c r="I120" s="8" t="str">
        <f>HYPERLINK(CONCATENATE("https://jstnbraaten.users.earthengine.app/view/landsat-timeseries-explorer#run=true;lon=-69.16499250364431;lat=18.46376518537758;from=01-01;to=12-31;index=NBR;rgb=NIR%2FRED%2FGREEN;chipwidth=1;"), "landsat_chips")</f>
        <v>landsat_chips</v>
      </c>
      <c r="J120" s="8" t="str">
        <f>HYPERLINK(CONCATENATE("https://livingatlas.arcgis.com/wayback/#ext=-69.16599250364432,18.46476518537758,-69.16399250364431,18.462765185377577"), "wayback")</f>
        <v>wayback</v>
      </c>
      <c r="K120" s="2" t="s">
        <v>422</v>
      </c>
      <c r="L120" s="5"/>
      <c r="M120" s="5" t="s">
        <v>422</v>
      </c>
      <c r="N120" s="5"/>
    </row>
    <row r="121" spans="1:14" x14ac:dyDescent="0.35">
      <c r="A121" s="2">
        <v>120</v>
      </c>
      <c r="B121" s="2" t="s">
        <v>426</v>
      </c>
      <c r="C121" s="2" t="s">
        <v>552</v>
      </c>
      <c r="D121" s="2" t="s">
        <v>20</v>
      </c>
      <c r="E121" s="2">
        <v>8</v>
      </c>
      <c r="F121" s="2">
        <v>18.214624165659401</v>
      </c>
      <c r="G121" s="2">
        <v>-73.192835341780921</v>
      </c>
      <c r="H121" s="8" t="str">
        <f>HYPERLINK(CONCATENATE("https://faluhong.users.earthengine.app/view/hispaniola-lc-validation#id=PF120;lat=18.2146241656594;lon=-73.19283534178092;year=2000;bf=40;level=18;"), "landsat_time_series")</f>
        <v>landsat_time_series</v>
      </c>
      <c r="I121" s="8" t="str">
        <f>HYPERLINK(CONCATENATE("https://jstnbraaten.users.earthengine.app/view/landsat-timeseries-explorer#run=true;lon=-73.19283534178092;lat=18.2146241656594;from=01-01;to=12-31;index=NBR;rgb=NIR%2FRED%2FGREEN;chipwidth=1;"), "landsat_chips")</f>
        <v>landsat_chips</v>
      </c>
      <c r="J121" s="8" t="str">
        <f>HYPERLINK(CONCATENATE("https://livingatlas.arcgis.com/wayback/#ext=-73.19383534178093,18.215624165659403,-73.19183534178092,18.2136241656594"), "wayback")</f>
        <v>wayback</v>
      </c>
      <c r="K121" s="2" t="s">
        <v>422</v>
      </c>
      <c r="L121" s="5"/>
      <c r="M121" s="5" t="s">
        <v>422</v>
      </c>
      <c r="N121" s="5"/>
    </row>
    <row r="122" spans="1:14" x14ac:dyDescent="0.35">
      <c r="A122" s="2">
        <v>121</v>
      </c>
      <c r="B122" s="2" t="s">
        <v>426</v>
      </c>
      <c r="C122" s="2" t="s">
        <v>553</v>
      </c>
      <c r="D122" s="2" t="s">
        <v>20</v>
      </c>
      <c r="E122" s="2">
        <v>1150</v>
      </c>
      <c r="F122" s="2">
        <v>18.698011466627712</v>
      </c>
      <c r="G122" s="2">
        <v>-71.857874566033615</v>
      </c>
      <c r="H122" s="8" t="str">
        <f>HYPERLINK(CONCATENATE("https://faluhong.users.earthengine.app/view/hispaniola-lc-validation#id=PF121;lat=18.698011466627708;lon=-71.85787456603362;year=2000;bf=40;level=18;"), "landsat_time_series")</f>
        <v>landsat_time_series</v>
      </c>
      <c r="I122" s="8" t="str">
        <f>HYPERLINK(CONCATENATE("https://jstnbraaten.users.earthengine.app/view/landsat-timeseries-explorer#run=true;lon=-71.85787456603362;lat=18.698011466627708;from=01-01;to=12-31;index=NBR;rgb=NIR%2FRED%2FGREEN;chipwidth=1;"), "landsat_chips")</f>
        <v>landsat_chips</v>
      </c>
      <c r="J122" s="8" t="str">
        <f>HYPERLINK(CONCATENATE("https://livingatlas.arcgis.com/wayback/#ext=-71.85887456603362,18.69901146662771,-71.85687456603361,18.697011466627707"), "wayback")</f>
        <v>wayback</v>
      </c>
      <c r="K122" s="2" t="s">
        <v>422</v>
      </c>
      <c r="L122" s="5"/>
      <c r="M122" s="5" t="s">
        <v>422</v>
      </c>
      <c r="N122" s="5"/>
    </row>
    <row r="123" spans="1:14" x14ac:dyDescent="0.35">
      <c r="A123" s="2">
        <v>122</v>
      </c>
      <c r="B123" s="2" t="s">
        <v>426</v>
      </c>
      <c r="C123" s="2" t="s">
        <v>554</v>
      </c>
      <c r="D123" s="2" t="s">
        <v>10</v>
      </c>
      <c r="E123" s="2">
        <v>334</v>
      </c>
      <c r="F123" s="2">
        <v>17.964694321992109</v>
      </c>
      <c r="G123" s="2">
        <v>-71.533031976070788</v>
      </c>
      <c r="H123" s="8" t="str">
        <f>HYPERLINK(CONCATENATE("https://faluhong.users.earthengine.app/view/hispaniola-lc-validation#id=PF122;lat=17.96469432199211;lon=-71.53303197607079;year=2000;bf=40;level=18;"), "landsat_time_series")</f>
        <v>landsat_time_series</v>
      </c>
      <c r="I123" s="8" t="str">
        <f>HYPERLINK(CONCATENATE("https://jstnbraaten.users.earthengine.app/view/landsat-timeseries-explorer#run=true;lon=-71.53303197607079;lat=17.96469432199211;from=01-01;to=12-31;index=NBR;rgb=NIR%2FRED%2FGREEN;chipwidth=1;"), "landsat_chips")</f>
        <v>landsat_chips</v>
      </c>
      <c r="J123" s="8" t="str">
        <f>HYPERLINK(CONCATENATE("https://livingatlas.arcgis.com/wayback/#ext=-71.53403197607079,17.96569432199211,-71.53203197607078,17.963694321992108"), "wayback")</f>
        <v>wayback</v>
      </c>
      <c r="K123" s="2" t="s">
        <v>422</v>
      </c>
      <c r="L123" s="5"/>
      <c r="M123" s="5" t="s">
        <v>422</v>
      </c>
      <c r="N123" s="5"/>
    </row>
    <row r="124" spans="1:14" x14ac:dyDescent="0.35">
      <c r="A124" s="2">
        <v>123</v>
      </c>
      <c r="B124" s="2" t="s">
        <v>426</v>
      </c>
      <c r="C124" s="2" t="s">
        <v>555</v>
      </c>
      <c r="D124" s="2" t="s">
        <v>10</v>
      </c>
      <c r="E124" s="2">
        <v>149</v>
      </c>
      <c r="F124" s="2">
        <v>19.771090596018951</v>
      </c>
      <c r="G124" s="2">
        <v>-71.3706065292874</v>
      </c>
      <c r="H124" s="8" t="str">
        <f>HYPERLINK(CONCATENATE("https://faluhong.users.earthengine.app/view/hispaniola-lc-validation#id=PF123;lat=19.771090596018947;lon=-71.3706065292874;year=2000;bf=40;level=18;"), "landsat_time_series")</f>
        <v>landsat_time_series</v>
      </c>
      <c r="I124" s="8" t="str">
        <f>HYPERLINK(CONCATENATE("https://jstnbraaten.users.earthengine.app/view/landsat-timeseries-explorer#run=true;lon=-71.3706065292874;lat=19.771090596018947;from=01-01;to=12-31;index=NBR;rgb=NIR%2FRED%2FGREEN;chipwidth=1;"), "landsat_chips")</f>
        <v>landsat_chips</v>
      </c>
      <c r="J124" s="8" t="str">
        <f>HYPERLINK(CONCATENATE("https://livingatlas.arcgis.com/wayback/#ext=-71.3716065292874,19.77209059601895,-71.3696065292874,19.770090596018946"), "wayback")</f>
        <v>wayback</v>
      </c>
      <c r="K124" s="2" t="s">
        <v>422</v>
      </c>
      <c r="L124" s="5"/>
      <c r="M124" s="5" t="s">
        <v>422</v>
      </c>
      <c r="N124" s="5"/>
    </row>
    <row r="125" spans="1:14" x14ac:dyDescent="0.35">
      <c r="A125" s="2">
        <v>124</v>
      </c>
      <c r="B125" s="2" t="s">
        <v>426</v>
      </c>
      <c r="C125" s="2" t="s">
        <v>556</v>
      </c>
      <c r="D125" s="2" t="s">
        <v>10</v>
      </c>
      <c r="E125" s="2">
        <v>79</v>
      </c>
      <c r="F125" s="2">
        <v>18.324595770263731</v>
      </c>
      <c r="G125" s="2">
        <v>-70.887186570451718</v>
      </c>
      <c r="H125" s="8" t="str">
        <f>HYPERLINK(CONCATENATE("https://faluhong.users.earthengine.app/view/hispaniola-lc-validation#id=PF124;lat=18.324595770263734;lon=-70.88718657045172;year=2000;bf=40;level=18;"), "landsat_time_series")</f>
        <v>landsat_time_series</v>
      </c>
      <c r="I125" s="8" t="str">
        <f>HYPERLINK(CONCATENATE("https://jstnbraaten.users.earthengine.app/view/landsat-timeseries-explorer#run=true;lon=-70.88718657045172;lat=18.324595770263734;from=01-01;to=12-31;index=NBR;rgb=NIR%2FRED%2FGREEN;chipwidth=1;"), "landsat_chips")</f>
        <v>landsat_chips</v>
      </c>
      <c r="J125" s="8" t="str">
        <f>HYPERLINK(CONCATENATE("https://livingatlas.arcgis.com/wayback/#ext=-70.88818657045172,18.325595770263735,-70.88618657045171,18.323595770263733"), "wayback")</f>
        <v>wayback</v>
      </c>
      <c r="K125" s="2" t="s">
        <v>422</v>
      </c>
      <c r="L125" s="5"/>
      <c r="M125" s="5" t="s">
        <v>422</v>
      </c>
      <c r="N125" s="5"/>
    </row>
    <row r="126" spans="1:14" x14ac:dyDescent="0.35">
      <c r="A126" s="2">
        <v>125</v>
      </c>
      <c r="B126" s="2" t="s">
        <v>426</v>
      </c>
      <c r="C126" s="2" t="s">
        <v>557</v>
      </c>
      <c r="D126" s="2" t="s">
        <v>10</v>
      </c>
      <c r="E126" s="2">
        <v>1893</v>
      </c>
      <c r="F126" s="2">
        <v>19.040647417614132</v>
      </c>
      <c r="G126" s="2">
        <v>-71.16983939828414</v>
      </c>
      <c r="H126" s="8" t="str">
        <f>HYPERLINK(CONCATENATE("https://faluhong.users.earthengine.app/view/hispaniola-lc-validation#id=PF125;lat=19.040647417614128;lon=-71.16983939828414;year=2000;bf=40;level=18;"), "landsat_time_series")</f>
        <v>landsat_time_series</v>
      </c>
      <c r="I126" s="8" t="str">
        <f>HYPERLINK(CONCATENATE("https://jstnbraaten.users.earthengine.app/view/landsat-timeseries-explorer#run=true;lon=-71.16983939828414;lat=19.040647417614128;from=01-01;to=12-31;index=NBR;rgb=NIR%2FRED%2FGREEN;chipwidth=1;"), "landsat_chips")</f>
        <v>landsat_chips</v>
      </c>
      <c r="J126" s="8" t="str">
        <f>HYPERLINK(CONCATENATE("https://livingatlas.arcgis.com/wayback/#ext=-71.17083939828414,19.04164741761413,-71.16883939828413,19.039647417614127"), "wayback")</f>
        <v>wayback</v>
      </c>
      <c r="K126" s="2" t="s">
        <v>418</v>
      </c>
      <c r="L126" s="5"/>
      <c r="M126" s="5" t="s">
        <v>418</v>
      </c>
      <c r="N126" s="5" t="s">
        <v>419</v>
      </c>
    </row>
    <row r="127" spans="1:14" x14ac:dyDescent="0.35">
      <c r="A127" s="2">
        <v>126</v>
      </c>
      <c r="B127" s="2" t="s">
        <v>426</v>
      </c>
      <c r="C127" s="2" t="s">
        <v>558</v>
      </c>
      <c r="D127" s="2" t="s">
        <v>10</v>
      </c>
      <c r="E127" s="2">
        <v>27</v>
      </c>
      <c r="F127" s="2">
        <v>18.474987515719508</v>
      </c>
      <c r="G127" s="2">
        <v>-69.686938259594882</v>
      </c>
      <c r="H127" s="8" t="str">
        <f>HYPERLINK(CONCATENATE("https://faluhong.users.earthengine.app/view/hispaniola-lc-validation#id=PF126;lat=18.47498751571951;lon=-69.68693825959488;year=2000;bf=40;level=18;"), "landsat_time_series")</f>
        <v>landsat_time_series</v>
      </c>
      <c r="I127" s="8" t="str">
        <f>HYPERLINK(CONCATENATE("https://jstnbraaten.users.earthengine.app/view/landsat-timeseries-explorer#run=true;lon=-69.68693825959488;lat=18.47498751571951;from=01-01;to=12-31;index=NBR;rgb=NIR%2FRED%2FGREEN;chipwidth=1;"), "landsat_chips")</f>
        <v>landsat_chips</v>
      </c>
      <c r="J127" s="8" t="str">
        <f>HYPERLINK(CONCATENATE("https://livingatlas.arcgis.com/wayback/#ext=-69.68793825959489,18.47598751571951,-69.68593825959488,18.473987515719507"), "wayback")</f>
        <v>wayback</v>
      </c>
      <c r="K127" s="2" t="s">
        <v>422</v>
      </c>
      <c r="L127" s="5"/>
      <c r="M127" s="5" t="s">
        <v>422</v>
      </c>
      <c r="N127" s="5"/>
    </row>
    <row r="128" spans="1:14" x14ac:dyDescent="0.35">
      <c r="A128" s="2">
        <v>127</v>
      </c>
      <c r="B128" s="2" t="s">
        <v>426</v>
      </c>
      <c r="C128" s="2" t="s">
        <v>559</v>
      </c>
      <c r="D128" s="2" t="s">
        <v>10</v>
      </c>
      <c r="E128" s="2">
        <v>116</v>
      </c>
      <c r="F128" s="2">
        <v>19.327939673116681</v>
      </c>
      <c r="G128" s="2">
        <v>-70.495598958437327</v>
      </c>
      <c r="H128" s="8" t="str">
        <f>HYPERLINK(CONCATENATE("https://faluhong.users.earthengine.app/view/hispaniola-lc-validation#id=PF127;lat=19.32793967311668;lon=-70.49559895843733;year=2000;bf=40;level=18;"), "landsat_time_series")</f>
        <v>landsat_time_series</v>
      </c>
      <c r="I128" s="8" t="str">
        <f>HYPERLINK(CONCATENATE("https://jstnbraaten.users.earthengine.app/view/landsat-timeseries-explorer#run=true;lon=-70.49559895843733;lat=19.32793967311668;from=01-01;to=12-31;index=NBR;rgb=NIR%2FRED%2FGREEN;chipwidth=1;"), "landsat_chips")</f>
        <v>landsat_chips</v>
      </c>
      <c r="J128" s="8" t="str">
        <f>HYPERLINK(CONCATENATE("https://livingatlas.arcgis.com/wayback/#ext=-70.49659895843733,19.328939673116682,-70.49459895843732,19.32693967311668"), "wayback")</f>
        <v>wayback</v>
      </c>
      <c r="K128" s="2" t="s">
        <v>422</v>
      </c>
      <c r="L128" s="5"/>
      <c r="M128" s="5" t="s">
        <v>422</v>
      </c>
      <c r="N128" s="5"/>
    </row>
    <row r="129" spans="1:14" x14ac:dyDescent="0.35">
      <c r="A129" s="2">
        <v>128</v>
      </c>
      <c r="B129" s="2" t="s">
        <v>426</v>
      </c>
      <c r="C129" s="2" t="s">
        <v>560</v>
      </c>
      <c r="D129" s="2" t="s">
        <v>10</v>
      </c>
      <c r="E129" s="2">
        <v>2232</v>
      </c>
      <c r="F129" s="2">
        <v>19.031347779363969</v>
      </c>
      <c r="G129" s="2">
        <v>-71.107020644101254</v>
      </c>
      <c r="H129" s="8" t="str">
        <f>HYPERLINK(CONCATENATE("https://faluhong.users.earthengine.app/view/hispaniola-lc-validation#id=PF128;lat=19.031347779363973;lon=-71.10702064410125;year=2000;bf=40;level=18;"), "landsat_time_series")</f>
        <v>landsat_time_series</v>
      </c>
      <c r="I129" s="8" t="str">
        <f>HYPERLINK(CONCATENATE("https://jstnbraaten.users.earthengine.app/view/landsat-timeseries-explorer#run=true;lon=-71.10702064410125;lat=19.031347779363973;from=01-01;to=12-31;index=NBR;rgb=NIR%2FRED%2FGREEN;chipwidth=1;"), "landsat_chips")</f>
        <v>landsat_chips</v>
      </c>
      <c r="J129" s="8" t="str">
        <f>HYPERLINK(CONCATENATE("https://livingatlas.arcgis.com/wayback/#ext=-71.10802064410126,19.032347779363974,-71.10602064410125,19.03034777936397"), "wayback")</f>
        <v>wayback</v>
      </c>
      <c r="K129" s="2" t="s">
        <v>418</v>
      </c>
      <c r="L129" s="5"/>
      <c r="M129" s="5" t="s">
        <v>418</v>
      </c>
      <c r="N129" s="5" t="s">
        <v>419</v>
      </c>
    </row>
    <row r="130" spans="1:14" x14ac:dyDescent="0.35">
      <c r="A130" s="2">
        <v>129</v>
      </c>
      <c r="B130" s="2" t="s">
        <v>426</v>
      </c>
      <c r="C130" s="2" t="s">
        <v>561</v>
      </c>
      <c r="D130" s="2" t="s">
        <v>10</v>
      </c>
      <c r="E130" s="2">
        <v>2387</v>
      </c>
      <c r="F130" s="2">
        <v>19.0479483495042</v>
      </c>
      <c r="G130" s="2">
        <v>-71.114624980458629</v>
      </c>
      <c r="H130" s="8" t="str">
        <f>HYPERLINK(CONCATENATE("https://faluhong.users.earthengine.app/view/hispaniola-lc-validation#id=PF129;lat=19.0479483495042;lon=-71.11462498045863;year=2000;bf=40;level=18;"), "landsat_time_series")</f>
        <v>landsat_time_series</v>
      </c>
      <c r="I130" s="8" t="str">
        <f>HYPERLINK(CONCATENATE("https://jstnbraaten.users.earthengine.app/view/landsat-timeseries-explorer#run=true;lon=-71.11462498045863;lat=19.0479483495042;from=01-01;to=12-31;index=NBR;rgb=NIR%2FRED%2FGREEN;chipwidth=1;"), "landsat_chips")</f>
        <v>landsat_chips</v>
      </c>
      <c r="J130" s="8" t="str">
        <f>HYPERLINK(CONCATENATE("https://livingatlas.arcgis.com/wayback/#ext=-71.11562498045863,19.0489483495042,-71.11362498045862,19.0469483495042"), "wayback")</f>
        <v>wayback</v>
      </c>
      <c r="K130" s="2" t="s">
        <v>418</v>
      </c>
      <c r="L130" s="5"/>
      <c r="M130" s="5" t="s">
        <v>418</v>
      </c>
      <c r="N130" s="5" t="s">
        <v>419</v>
      </c>
    </row>
    <row r="131" spans="1:14" x14ac:dyDescent="0.35">
      <c r="A131" s="2">
        <v>130</v>
      </c>
      <c r="B131" s="2" t="s">
        <v>426</v>
      </c>
      <c r="C131" s="2" t="s">
        <v>562</v>
      </c>
      <c r="D131" s="2" t="s">
        <v>10</v>
      </c>
      <c r="E131" s="2">
        <v>535</v>
      </c>
      <c r="F131" s="2">
        <v>18.739017677393431</v>
      </c>
      <c r="G131" s="2">
        <v>-71.252934730578232</v>
      </c>
      <c r="H131" s="8" t="str">
        <f>HYPERLINK(CONCATENATE("https://faluhong.users.earthengine.app/view/hispaniola-lc-validation#id=PF130;lat=18.73901767739343;lon=-71.25293473057823;year=2000;bf=40;level=18;"), "landsat_time_series")</f>
        <v>landsat_time_series</v>
      </c>
      <c r="I131" s="8" t="str">
        <f>HYPERLINK(CONCATENATE("https://jstnbraaten.users.earthengine.app/view/landsat-timeseries-explorer#run=true;lon=-71.25293473057823;lat=18.73901767739343;from=01-01;to=12-31;index=NBR;rgb=NIR%2FRED%2FGREEN;chipwidth=1;"), "landsat_chips")</f>
        <v>landsat_chips</v>
      </c>
      <c r="J131" s="8" t="str">
        <f>HYPERLINK(CONCATENATE("https://livingatlas.arcgis.com/wayback/#ext=-71.25393473057824,18.740017677393432,-71.25193473057823,18.73801767739343"), "wayback")</f>
        <v>wayback</v>
      </c>
      <c r="K131" s="2" t="s">
        <v>422</v>
      </c>
      <c r="L131" s="5"/>
      <c r="M131" s="5" t="s">
        <v>422</v>
      </c>
      <c r="N131" s="5"/>
    </row>
    <row r="132" spans="1:14" x14ac:dyDescent="0.35">
      <c r="A132" s="2">
        <v>131</v>
      </c>
      <c r="B132" s="2" t="s">
        <v>426</v>
      </c>
      <c r="C132" s="2" t="s">
        <v>563</v>
      </c>
      <c r="D132" s="2" t="s">
        <v>20</v>
      </c>
      <c r="E132" s="2">
        <v>237</v>
      </c>
      <c r="F132" s="2">
        <v>18.968345380444639</v>
      </c>
      <c r="G132" s="2">
        <v>-71.959630347516537</v>
      </c>
      <c r="H132" s="8" t="str">
        <f>HYPERLINK(CONCATENATE("https://faluhong.users.earthengine.app/view/hispaniola-lc-validation#id=PF131;lat=18.968345380444635;lon=-71.95963034751654;year=2000;bf=40;level=18;"), "landsat_time_series")</f>
        <v>landsat_time_series</v>
      </c>
      <c r="I132" s="8" t="str">
        <f>HYPERLINK(CONCATENATE("https://jstnbraaten.users.earthengine.app/view/landsat-timeseries-explorer#run=true;lon=-71.95963034751654;lat=18.968345380444635;from=01-01;to=12-31;index=NBR;rgb=NIR%2FRED%2FGREEN;chipwidth=1;"), "landsat_chips")</f>
        <v>landsat_chips</v>
      </c>
      <c r="J132" s="8" t="str">
        <f>HYPERLINK(CONCATENATE("https://livingatlas.arcgis.com/wayback/#ext=-71.96063034751654,18.969345380444636,-71.95863034751653,18.967345380444634"), "wayback")</f>
        <v>wayback</v>
      </c>
      <c r="K132" s="2" t="s">
        <v>422</v>
      </c>
      <c r="L132" s="5"/>
      <c r="M132" s="5" t="s">
        <v>422</v>
      </c>
      <c r="N132" s="5"/>
    </row>
    <row r="133" spans="1:14" x14ac:dyDescent="0.35">
      <c r="A133" s="2">
        <v>132</v>
      </c>
      <c r="B133" s="2" t="s">
        <v>426</v>
      </c>
      <c r="C133" s="2" t="s">
        <v>564</v>
      </c>
      <c r="D133" s="2" t="s">
        <v>10</v>
      </c>
      <c r="E133" s="2">
        <v>1510</v>
      </c>
      <c r="F133" s="2">
        <v>18.849016418154928</v>
      </c>
      <c r="G133" s="2">
        <v>-70.769263268885112</v>
      </c>
      <c r="H133" s="8" t="str">
        <f>HYPERLINK(CONCATENATE("https://faluhong.users.earthengine.app/view/hispaniola-lc-validation#id=PF132;lat=18.84901641815493;lon=-70.76926326888511;year=2000;bf=40;level=18;"), "landsat_time_series")</f>
        <v>landsat_time_series</v>
      </c>
      <c r="I133" s="8" t="str">
        <f>HYPERLINK(CONCATENATE("https://jstnbraaten.users.earthengine.app/view/landsat-timeseries-explorer#run=true;lon=-70.76926326888511;lat=18.84901641815493;from=01-01;to=12-31;index=NBR;rgb=NIR%2FRED%2FGREEN;chipwidth=1;"), "landsat_chips")</f>
        <v>landsat_chips</v>
      </c>
      <c r="J133" s="8" t="str">
        <f>HYPERLINK(CONCATENATE("https://livingatlas.arcgis.com/wayback/#ext=-70.77026326888512,18.85001641815493,-70.76826326888511,18.848016418154927"), "wayback")</f>
        <v>wayback</v>
      </c>
      <c r="K133" s="2" t="s">
        <v>418</v>
      </c>
      <c r="L133" s="5"/>
      <c r="M133" s="5" t="s">
        <v>418</v>
      </c>
      <c r="N133" s="5" t="s">
        <v>419</v>
      </c>
    </row>
    <row r="134" spans="1:14" x14ac:dyDescent="0.35">
      <c r="A134" s="2">
        <v>133</v>
      </c>
      <c r="B134" s="2" t="s">
        <v>426</v>
      </c>
      <c r="C134" s="2" t="s">
        <v>565</v>
      </c>
      <c r="D134" s="2" t="s">
        <v>10</v>
      </c>
      <c r="E134" s="2">
        <v>1716</v>
      </c>
      <c r="F134" s="2">
        <v>19.096445015359379</v>
      </c>
      <c r="G134" s="2">
        <v>-71.006308496411677</v>
      </c>
      <c r="H134" s="8" t="str">
        <f>HYPERLINK(CONCATENATE("https://faluhong.users.earthengine.app/view/hispaniola-lc-validation#id=PF133;lat=19.096445015359375;lon=-71.00630849641168;year=2000;bf=40;level=18;"), "landsat_time_series")</f>
        <v>landsat_time_series</v>
      </c>
      <c r="I134" s="8" t="str">
        <f>HYPERLINK(CONCATENATE("https://jstnbraaten.users.earthengine.app/view/landsat-timeseries-explorer#run=true;lon=-71.00630849641168;lat=19.096445015359375;from=01-01;to=12-31;index=NBR;rgb=NIR%2FRED%2FGREEN;chipwidth=1;"), "landsat_chips")</f>
        <v>landsat_chips</v>
      </c>
      <c r="J134" s="8" t="str">
        <f>HYPERLINK(CONCATENATE("https://livingatlas.arcgis.com/wayback/#ext=-71.00730849641168,19.097445015359376,-71.00530849641167,19.095445015359374"), "wayback")</f>
        <v>wayback</v>
      </c>
      <c r="K134" s="2" t="s">
        <v>418</v>
      </c>
      <c r="L134" s="5"/>
      <c r="M134" s="5" t="s">
        <v>418</v>
      </c>
      <c r="N134" s="5" t="s">
        <v>419</v>
      </c>
    </row>
    <row r="135" spans="1:14" x14ac:dyDescent="0.35">
      <c r="A135" s="2">
        <v>134</v>
      </c>
      <c r="B135" s="2" t="s">
        <v>426</v>
      </c>
      <c r="C135" s="2" t="s">
        <v>566</v>
      </c>
      <c r="D135" s="2" t="s">
        <v>10</v>
      </c>
      <c r="E135" s="2">
        <v>32</v>
      </c>
      <c r="F135" s="2">
        <v>18.556334018112828</v>
      </c>
      <c r="G135" s="2">
        <v>-69.317921524588783</v>
      </c>
      <c r="H135" s="8" t="str">
        <f>HYPERLINK(CONCATENATE("https://faluhong.users.earthengine.app/view/hispaniola-lc-validation#id=PF134;lat=18.556334018112832;lon=-69.31792152458878;year=2000;bf=40;level=18;"), "landsat_time_series")</f>
        <v>landsat_time_series</v>
      </c>
      <c r="I135" s="8" t="str">
        <f>HYPERLINK(CONCATENATE("https://jstnbraaten.users.earthengine.app/view/landsat-timeseries-explorer#run=true;lon=-69.31792152458878;lat=18.556334018112832;from=01-01;to=12-31;index=NBR;rgb=NIR%2FRED%2FGREEN;chipwidth=1;"), "landsat_chips")</f>
        <v>landsat_chips</v>
      </c>
      <c r="J135" s="8" t="str">
        <f>HYPERLINK(CONCATENATE("https://livingatlas.arcgis.com/wayback/#ext=-69.31892152458879,18.557334018112833,-69.31692152458878,18.55533401811283"), "wayback")</f>
        <v>wayback</v>
      </c>
      <c r="K135" s="2" t="s">
        <v>422</v>
      </c>
      <c r="L135" s="5"/>
      <c r="M135" s="5" t="s">
        <v>422</v>
      </c>
      <c r="N135" s="5"/>
    </row>
    <row r="136" spans="1:14" x14ac:dyDescent="0.35">
      <c r="A136" s="2">
        <v>135</v>
      </c>
      <c r="B136" s="2" t="s">
        <v>426</v>
      </c>
      <c r="C136" s="2" t="s">
        <v>567</v>
      </c>
      <c r="D136" s="2" t="s">
        <v>10</v>
      </c>
      <c r="E136" s="2">
        <v>92</v>
      </c>
      <c r="F136" s="2">
        <v>18.451011017482099</v>
      </c>
      <c r="G136" s="2">
        <v>-70.856472602021768</v>
      </c>
      <c r="H136" s="8" t="str">
        <f>HYPERLINK(CONCATENATE("https://faluhong.users.earthengine.app/view/hispaniola-lc-validation#id=PF135;lat=18.451011017482095;lon=-70.85647260202177;year=2000;bf=40;level=18;"), "landsat_time_series")</f>
        <v>landsat_time_series</v>
      </c>
      <c r="I136" s="8" t="str">
        <f>HYPERLINK(CONCATENATE("https://jstnbraaten.users.earthengine.app/view/landsat-timeseries-explorer#run=true;lon=-70.85647260202177;lat=18.451011017482095;from=01-01;to=12-31;index=NBR;rgb=NIR%2FRED%2FGREEN;chipwidth=1;"), "landsat_chips")</f>
        <v>landsat_chips</v>
      </c>
      <c r="J136" s="8" t="str">
        <f>HYPERLINK(CONCATENATE("https://livingatlas.arcgis.com/wayback/#ext=-70.85747260202177,18.452011017482096,-70.85547260202176,18.450011017482094"), "wayback")</f>
        <v>wayback</v>
      </c>
      <c r="K136" s="2" t="s">
        <v>422</v>
      </c>
      <c r="L136" s="5"/>
      <c r="M136" s="5" t="s">
        <v>422</v>
      </c>
      <c r="N136" s="5"/>
    </row>
    <row r="137" spans="1:14" x14ac:dyDescent="0.35">
      <c r="A137" s="2">
        <v>136</v>
      </c>
      <c r="B137" s="2" t="s">
        <v>426</v>
      </c>
      <c r="C137" s="2" t="s">
        <v>568</v>
      </c>
      <c r="D137" s="2" t="s">
        <v>10</v>
      </c>
      <c r="E137" s="2">
        <v>183</v>
      </c>
      <c r="F137" s="2">
        <v>19.300015722815861</v>
      </c>
      <c r="G137" s="2">
        <v>-70.133658176025023</v>
      </c>
      <c r="H137" s="8" t="str">
        <f>HYPERLINK(CONCATENATE("https://faluhong.users.earthengine.app/view/hispaniola-lc-validation#id=PF136;lat=19.300015722815857;lon=-70.13365817602502;year=2000;bf=40;level=18;"), "landsat_time_series")</f>
        <v>landsat_time_series</v>
      </c>
      <c r="I137" s="8" t="str">
        <f>HYPERLINK(CONCATENATE("https://jstnbraaten.users.earthengine.app/view/landsat-timeseries-explorer#run=true;lon=-70.13365817602502;lat=19.300015722815857;from=01-01;to=12-31;index=NBR;rgb=NIR%2FRED%2FGREEN;chipwidth=1;"), "landsat_chips")</f>
        <v>landsat_chips</v>
      </c>
      <c r="J137" s="8" t="str">
        <f>HYPERLINK(CONCATENATE("https://livingatlas.arcgis.com/wayback/#ext=-70.13465817602503,19.30101572281586,-70.13265817602502,19.299015722815856"), "wayback")</f>
        <v>wayback</v>
      </c>
      <c r="K137" s="2" t="s">
        <v>422</v>
      </c>
      <c r="L137" s="5"/>
      <c r="M137" s="5" t="s">
        <v>422</v>
      </c>
      <c r="N137" s="5"/>
    </row>
    <row r="138" spans="1:14" x14ac:dyDescent="0.35">
      <c r="A138" s="2">
        <v>137</v>
      </c>
      <c r="B138" s="2" t="s">
        <v>426</v>
      </c>
      <c r="C138" s="2" t="s">
        <v>569</v>
      </c>
      <c r="D138" s="2" t="s">
        <v>10</v>
      </c>
      <c r="E138" s="2">
        <v>172</v>
      </c>
      <c r="F138" s="2">
        <v>19.42636238439453</v>
      </c>
      <c r="G138" s="2">
        <v>-70.709913167225238</v>
      </c>
      <c r="H138" s="8" t="str">
        <f>HYPERLINK(CONCATENATE("https://faluhong.users.earthengine.app/view/hispaniola-lc-validation#id=PF137;lat=19.426362384394526;lon=-70.70991316722524;year=2000;bf=40;level=18;"), "landsat_time_series")</f>
        <v>landsat_time_series</v>
      </c>
      <c r="I138" s="8" t="str">
        <f>HYPERLINK(CONCATENATE("https://jstnbraaten.users.earthengine.app/view/landsat-timeseries-explorer#run=true;lon=-70.70991316722524;lat=19.426362384394526;from=01-01;to=12-31;index=NBR;rgb=NIR%2FRED%2FGREEN;chipwidth=1;"), "landsat_chips")</f>
        <v>landsat_chips</v>
      </c>
      <c r="J138" s="8" t="str">
        <f>HYPERLINK(CONCATENATE("https://livingatlas.arcgis.com/wayback/#ext=-70.71091316722524,19.427362384394527,-70.70891316722523,19.425362384394525"), "wayback")</f>
        <v>wayback</v>
      </c>
      <c r="K138" s="2" t="s">
        <v>422</v>
      </c>
      <c r="L138" s="5"/>
      <c r="M138" s="5" t="s">
        <v>422</v>
      </c>
      <c r="N138" s="5"/>
    </row>
    <row r="139" spans="1:14" x14ac:dyDescent="0.35">
      <c r="A139" s="2">
        <v>138</v>
      </c>
      <c r="B139" s="2" t="s">
        <v>426</v>
      </c>
      <c r="C139" s="2" t="s">
        <v>570</v>
      </c>
      <c r="D139" s="2" t="s">
        <v>20</v>
      </c>
      <c r="E139" s="2">
        <v>919</v>
      </c>
      <c r="F139" s="2">
        <v>19.208620498419911</v>
      </c>
      <c r="G139" s="2">
        <v>-71.744967043350385</v>
      </c>
      <c r="H139" s="8" t="str">
        <f>HYPERLINK(CONCATENATE("https://faluhong.users.earthengine.app/view/hispaniola-lc-validation#id=PF138;lat=19.208620498419915;lon=-71.74496704335039;year=2000;bf=40;level=18;"), "landsat_time_series")</f>
        <v>landsat_time_series</v>
      </c>
      <c r="I139" s="8" t="str">
        <f>HYPERLINK(CONCATENATE("https://jstnbraaten.users.earthengine.app/view/landsat-timeseries-explorer#run=true;lon=-71.74496704335039;lat=19.208620498419915;from=01-01;to=12-31;index=NBR;rgb=NIR%2FRED%2FGREEN;chipwidth=1;"), "landsat_chips")</f>
        <v>landsat_chips</v>
      </c>
      <c r="J139" s="8" t="str">
        <f>HYPERLINK(CONCATENATE("https://livingatlas.arcgis.com/wayback/#ext=-71.74596704335039,19.209620498419916,-71.74396704335038,19.207620498419914"), "wayback")</f>
        <v>wayback</v>
      </c>
      <c r="K139" s="2" t="s">
        <v>422</v>
      </c>
      <c r="L139" s="5"/>
      <c r="M139" s="5" t="s">
        <v>422</v>
      </c>
      <c r="N139" s="5"/>
    </row>
    <row r="140" spans="1:14" x14ac:dyDescent="0.35">
      <c r="A140" s="2">
        <v>139</v>
      </c>
      <c r="B140" s="2" t="s">
        <v>426</v>
      </c>
      <c r="C140" s="2" t="s">
        <v>571</v>
      </c>
      <c r="D140" s="2" t="s">
        <v>20</v>
      </c>
      <c r="E140" s="2">
        <v>806</v>
      </c>
      <c r="F140" s="2">
        <v>18.402080684260181</v>
      </c>
      <c r="G140" s="2">
        <v>-73.830838992839304</v>
      </c>
      <c r="H140" s="8" t="str">
        <f>HYPERLINK(CONCATENATE("https://faluhong.users.earthengine.app/view/hispaniola-lc-validation#id=PF139;lat=18.402080684260184;lon=-73.8308389928393;year=2000;bf=40;level=18;"), "landsat_time_series")</f>
        <v>landsat_time_series</v>
      </c>
      <c r="I140" s="8" t="str">
        <f>HYPERLINK(CONCATENATE("https://jstnbraaten.users.earthengine.app/view/landsat-timeseries-explorer#run=true;lon=-73.8308389928393;lat=18.402080684260184;from=01-01;to=12-31;index=NBR;rgb=NIR%2FRED%2FGREEN;chipwidth=1;"), "landsat_chips")</f>
        <v>landsat_chips</v>
      </c>
      <c r="J140" s="8" t="str">
        <f>HYPERLINK(CONCATENATE("https://livingatlas.arcgis.com/wayback/#ext=-73.83183899283931,18.403080684260186,-73.8298389928393,18.401080684260183"), "wayback")</f>
        <v>wayback</v>
      </c>
      <c r="K140" s="2" t="s">
        <v>422</v>
      </c>
      <c r="L140" s="5"/>
      <c r="M140" s="5" t="s">
        <v>422</v>
      </c>
      <c r="N140" s="5"/>
    </row>
    <row r="141" spans="1:14" x14ac:dyDescent="0.35">
      <c r="A141" s="2">
        <v>140</v>
      </c>
      <c r="B141" s="2" t="s">
        <v>426</v>
      </c>
      <c r="C141" s="2" t="s">
        <v>572</v>
      </c>
      <c r="D141" s="2" t="s">
        <v>10</v>
      </c>
      <c r="E141" s="2">
        <v>1322</v>
      </c>
      <c r="F141" s="2">
        <v>19.107922159350132</v>
      </c>
      <c r="G141" s="2">
        <v>-70.798934159108583</v>
      </c>
      <c r="H141" s="8" t="str">
        <f>HYPERLINK(CONCATENATE("https://faluhong.users.earthengine.app/view/hispaniola-lc-validation#id=PF140;lat=19.107922159350128;lon=-70.79893415910858;year=2000;bf=40;level=18;"), "landsat_time_series")</f>
        <v>landsat_time_series</v>
      </c>
      <c r="I141" s="8" t="str">
        <f>HYPERLINK(CONCATENATE("https://jstnbraaten.users.earthengine.app/view/landsat-timeseries-explorer#run=true;lon=-70.79893415910858;lat=19.107922159350128;from=01-01;to=12-31;index=NBR;rgb=NIR%2FRED%2FGREEN;chipwidth=1;"), "landsat_chips")</f>
        <v>landsat_chips</v>
      </c>
      <c r="J141" s="8" t="str">
        <f>HYPERLINK(CONCATENATE("https://livingatlas.arcgis.com/wayback/#ext=-70.79993415910859,19.10892215935013,-70.79793415910858,19.106922159350127"), "wayback")</f>
        <v>wayback</v>
      </c>
      <c r="K141" s="2" t="s">
        <v>422</v>
      </c>
      <c r="L141" s="5"/>
      <c r="M141" s="5" t="s">
        <v>422</v>
      </c>
      <c r="N141" s="5"/>
    </row>
    <row r="142" spans="1:14" x14ac:dyDescent="0.35">
      <c r="A142" s="2">
        <v>141</v>
      </c>
      <c r="B142" s="2" t="s">
        <v>426</v>
      </c>
      <c r="C142" s="2" t="s">
        <v>573</v>
      </c>
      <c r="D142" s="2" t="s">
        <v>20</v>
      </c>
      <c r="E142" s="2">
        <v>1982</v>
      </c>
      <c r="F142" s="2">
        <v>18.271005961223771</v>
      </c>
      <c r="G142" s="2">
        <v>-71.732712368754193</v>
      </c>
      <c r="H142" s="8" t="str">
        <f>HYPERLINK(CONCATENATE("https://faluhong.users.earthengine.app/view/hispaniola-lc-validation#id=PF141;lat=18.271005961223768;lon=-71.73271236875419;year=2000;bf=40;level=18;"), "landsat_time_series")</f>
        <v>landsat_time_series</v>
      </c>
      <c r="I142" s="8" t="str">
        <f>HYPERLINK(CONCATENATE("https://jstnbraaten.users.earthengine.app/view/landsat-timeseries-explorer#run=true;lon=-71.73271236875419;lat=18.271005961223768;from=01-01;to=12-31;index=NBR;rgb=NIR%2FRED%2FGREEN;chipwidth=1;"), "landsat_chips")</f>
        <v>landsat_chips</v>
      </c>
      <c r="J142" s="8" t="str">
        <f>HYPERLINK(CONCATENATE("https://livingatlas.arcgis.com/wayback/#ext=-71.7337123687542,18.27200596122377,-71.73171236875419,18.270005961223767"), "wayback")</f>
        <v>wayback</v>
      </c>
      <c r="K142" s="2" t="s">
        <v>418</v>
      </c>
      <c r="L142" s="5"/>
      <c r="M142" s="5" t="s">
        <v>418</v>
      </c>
      <c r="N142" s="5" t="s">
        <v>419</v>
      </c>
    </row>
    <row r="143" spans="1:14" x14ac:dyDescent="0.35">
      <c r="A143" s="2">
        <v>142</v>
      </c>
      <c r="B143" s="2" t="s">
        <v>426</v>
      </c>
      <c r="C143" s="2" t="s">
        <v>574</v>
      </c>
      <c r="D143" s="2" t="s">
        <v>10</v>
      </c>
      <c r="E143" s="2">
        <v>790</v>
      </c>
      <c r="F143" s="2">
        <v>19.122856457433748</v>
      </c>
      <c r="G143" s="2">
        <v>-71.560172240991463</v>
      </c>
      <c r="H143" s="8" t="str">
        <f>HYPERLINK(CONCATENATE("https://faluhong.users.earthengine.app/view/hispaniola-lc-validation#id=PF142;lat=19.12285645743375;lon=-71.56017224099146;year=2000;bf=40;level=18;"), "landsat_time_series")</f>
        <v>landsat_time_series</v>
      </c>
      <c r="I143" s="8" t="str">
        <f>HYPERLINK(CONCATENATE("https://jstnbraaten.users.earthengine.app/view/landsat-timeseries-explorer#run=true;lon=-71.56017224099146;lat=19.12285645743375;from=01-01;to=12-31;index=NBR;rgb=NIR%2FRED%2FGREEN;chipwidth=1;"), "landsat_chips")</f>
        <v>landsat_chips</v>
      </c>
      <c r="J143" s="8" t="str">
        <f>HYPERLINK(CONCATENATE("https://livingatlas.arcgis.com/wayback/#ext=-71.56117224099147,19.12385645743375,-71.55917224099146,19.121856457433747"), "wayback")</f>
        <v>wayback</v>
      </c>
      <c r="K143" s="2" t="s">
        <v>422</v>
      </c>
      <c r="L143" s="5"/>
      <c r="M143" s="5" t="s">
        <v>422</v>
      </c>
      <c r="N143" s="5"/>
    </row>
    <row r="144" spans="1:14" x14ac:dyDescent="0.35">
      <c r="A144" s="2">
        <v>143</v>
      </c>
      <c r="B144" s="2" t="s">
        <v>426</v>
      </c>
      <c r="C144" s="2" t="s">
        <v>575</v>
      </c>
      <c r="D144" s="2" t="s">
        <v>10</v>
      </c>
      <c r="E144" s="2">
        <v>1229</v>
      </c>
      <c r="F144" s="2">
        <v>18.895610358614011</v>
      </c>
      <c r="G144" s="2">
        <v>-70.699307766733526</v>
      </c>
      <c r="H144" s="8" t="str">
        <f>HYPERLINK(CONCATENATE("https://faluhong.users.earthengine.app/view/hispaniola-lc-validation#id=PF143;lat=18.895610358614007;lon=-70.69930776673353;year=2000;bf=40;level=18;"), "landsat_time_series")</f>
        <v>landsat_time_series</v>
      </c>
      <c r="I144" s="8" t="str">
        <f>HYPERLINK(CONCATENATE("https://jstnbraaten.users.earthengine.app/view/landsat-timeseries-explorer#run=true;lon=-70.69930776673353;lat=18.895610358614007;from=01-01;to=12-31;index=NBR;rgb=NIR%2FRED%2FGREEN;chipwidth=1;"), "landsat_chips")</f>
        <v>landsat_chips</v>
      </c>
      <c r="J144" s="8" t="str">
        <f>HYPERLINK(CONCATENATE("https://livingatlas.arcgis.com/wayback/#ext=-70.70030776673353,18.89661035861401,-70.69830776673352,18.894610358614006"), "wayback")</f>
        <v>wayback</v>
      </c>
      <c r="K144" s="2" t="s">
        <v>422</v>
      </c>
      <c r="L144" s="5"/>
      <c r="M144" s="5" t="s">
        <v>422</v>
      </c>
      <c r="N144" s="5"/>
    </row>
    <row r="145" spans="1:14" x14ac:dyDescent="0.35">
      <c r="A145" s="2">
        <v>144</v>
      </c>
      <c r="B145" s="2" t="s">
        <v>426</v>
      </c>
      <c r="C145" s="2" t="s">
        <v>576</v>
      </c>
      <c r="D145" s="2" t="s">
        <v>10</v>
      </c>
      <c r="E145" s="2">
        <v>311</v>
      </c>
      <c r="F145" s="2">
        <v>19.650684779974529</v>
      </c>
      <c r="G145" s="2">
        <v>-70.957719321326934</v>
      </c>
      <c r="H145" s="8" t="str">
        <f>HYPERLINK(CONCATENATE("https://faluhong.users.earthengine.app/view/hispaniola-lc-validation#id=PF144;lat=19.650684779974533;lon=-70.95771932132693;year=2000;bf=40;level=18;"), "landsat_time_series")</f>
        <v>landsat_time_series</v>
      </c>
      <c r="I145" s="8" t="str">
        <f>HYPERLINK(CONCATENATE("https://jstnbraaten.users.earthengine.app/view/landsat-timeseries-explorer#run=true;lon=-70.95771932132693;lat=19.650684779974533;from=01-01;to=12-31;index=NBR;rgb=NIR%2FRED%2FGREEN;chipwidth=1;"), "landsat_chips")</f>
        <v>landsat_chips</v>
      </c>
      <c r="J145" s="8" t="str">
        <f>HYPERLINK(CONCATENATE("https://livingatlas.arcgis.com/wayback/#ext=-70.95871932132694,19.651684779974534,-70.95671932132693,19.649684779974532"), "wayback")</f>
        <v>wayback</v>
      </c>
      <c r="K145" s="2" t="s">
        <v>422</v>
      </c>
      <c r="L145" s="5"/>
      <c r="M145" s="5" t="s">
        <v>422</v>
      </c>
      <c r="N145" s="5"/>
    </row>
    <row r="146" spans="1:14" x14ac:dyDescent="0.35">
      <c r="A146" s="2">
        <v>145</v>
      </c>
      <c r="B146" s="2" t="s">
        <v>426</v>
      </c>
      <c r="C146" s="2" t="s">
        <v>577</v>
      </c>
      <c r="D146" s="2" t="s">
        <v>10</v>
      </c>
      <c r="E146" s="2">
        <v>1874</v>
      </c>
      <c r="F146" s="2">
        <v>18.660706786476101</v>
      </c>
      <c r="G146" s="2">
        <v>-71.67037047511009</v>
      </c>
      <c r="H146" s="8" t="str">
        <f>HYPERLINK(CONCATENATE("https://faluhong.users.earthengine.app/view/hispaniola-lc-validation#id=PF145;lat=18.660706786476098;lon=-71.67037047511009;year=2000;bf=40;level=18;"), "landsat_time_series")</f>
        <v>landsat_time_series</v>
      </c>
      <c r="I146" s="8" t="str">
        <f>HYPERLINK(CONCATENATE("https://jstnbraaten.users.earthengine.app/view/landsat-timeseries-explorer#run=true;lon=-71.67037047511009;lat=18.660706786476098;from=01-01;to=12-31;index=NBR;rgb=NIR%2FRED%2FGREEN;chipwidth=1;"), "landsat_chips")</f>
        <v>landsat_chips</v>
      </c>
      <c r="J146" s="8" t="str">
        <f>HYPERLINK(CONCATENATE("https://livingatlas.arcgis.com/wayback/#ext=-71.6713704751101,18.6617067864761,-71.66937047511009,18.659706786476097"), "wayback")</f>
        <v>wayback</v>
      </c>
      <c r="K146" s="2" t="s">
        <v>422</v>
      </c>
      <c r="L146" s="5"/>
      <c r="M146" s="5" t="s">
        <v>422</v>
      </c>
      <c r="N146" s="5"/>
    </row>
    <row r="147" spans="1:14" x14ac:dyDescent="0.35">
      <c r="A147" s="2">
        <v>146</v>
      </c>
      <c r="B147" s="2" t="s">
        <v>426</v>
      </c>
      <c r="C147" s="2" t="s">
        <v>578</v>
      </c>
      <c r="D147" s="2" t="s">
        <v>10</v>
      </c>
      <c r="E147" s="2">
        <v>184</v>
      </c>
      <c r="F147" s="2">
        <v>18.427229550535881</v>
      </c>
      <c r="G147" s="2">
        <v>-71.093374668247421</v>
      </c>
      <c r="H147" s="8" t="str">
        <f>HYPERLINK(CONCATENATE("https://faluhong.users.earthengine.app/view/hispaniola-lc-validation#id=PF146;lat=18.427229550535884;lon=-71.09337466824742;year=2000;bf=40;level=18;"), "landsat_time_series")</f>
        <v>landsat_time_series</v>
      </c>
      <c r="I147" s="8" t="str">
        <f>HYPERLINK(CONCATENATE("https://jstnbraaten.users.earthengine.app/view/landsat-timeseries-explorer#run=true;lon=-71.09337466824742;lat=18.427229550535884;from=01-01;to=12-31;index=NBR;rgb=NIR%2FRED%2FGREEN;chipwidth=1;"), "landsat_chips")</f>
        <v>landsat_chips</v>
      </c>
      <c r="J147" s="8" t="str">
        <f>HYPERLINK(CONCATENATE("https://livingatlas.arcgis.com/wayback/#ext=-71.09437466824743,18.428229550535885,-71.09237466824742,18.426229550535883"), "wayback")</f>
        <v>wayback</v>
      </c>
      <c r="K147" s="2" t="s">
        <v>422</v>
      </c>
      <c r="L147" s="5"/>
      <c r="M147" s="5" t="s">
        <v>422</v>
      </c>
      <c r="N147" s="5"/>
    </row>
    <row r="148" spans="1:14" x14ac:dyDescent="0.35">
      <c r="A148" s="2">
        <v>147</v>
      </c>
      <c r="B148" s="2" t="s">
        <v>426</v>
      </c>
      <c r="C148" s="2" t="s">
        <v>579</v>
      </c>
      <c r="D148" s="2" t="s">
        <v>10</v>
      </c>
      <c r="E148" s="2">
        <v>23</v>
      </c>
      <c r="F148" s="2">
        <v>18.644383733765299</v>
      </c>
      <c r="G148" s="2">
        <v>-68.441332161862334</v>
      </c>
      <c r="H148" s="8" t="str">
        <f>HYPERLINK(CONCATENATE("https://faluhong.users.earthengine.app/view/hispaniola-lc-validation#id=PF147;lat=18.6443837337653;lon=-68.44133216186233;year=2000;bf=40;level=18;"), "landsat_time_series")</f>
        <v>landsat_time_series</v>
      </c>
      <c r="I148" s="8" t="str">
        <f>HYPERLINK(CONCATENATE("https://jstnbraaten.users.earthengine.app/view/landsat-timeseries-explorer#run=true;lon=-68.44133216186233;lat=18.6443837337653;from=01-01;to=12-31;index=NBR;rgb=NIR%2FRED%2FGREEN;chipwidth=1;"), "landsat_chips")</f>
        <v>landsat_chips</v>
      </c>
      <c r="J148" s="8" t="str">
        <f>HYPERLINK(CONCATENATE("https://livingatlas.arcgis.com/wayback/#ext=-68.44233216186234,18.6453837337653,-68.44033216186233,18.643383733765297"), "wayback")</f>
        <v>wayback</v>
      </c>
      <c r="K148" s="2" t="s">
        <v>422</v>
      </c>
      <c r="L148" s="5"/>
      <c r="M148" s="5" t="s">
        <v>422</v>
      </c>
      <c r="N148" s="5"/>
    </row>
    <row r="149" spans="1:14" x14ac:dyDescent="0.35">
      <c r="A149" s="2">
        <v>148</v>
      </c>
      <c r="B149" s="2" t="s">
        <v>426</v>
      </c>
      <c r="C149" s="2" t="s">
        <v>580</v>
      </c>
      <c r="D149" s="2" t="s">
        <v>10</v>
      </c>
      <c r="E149" s="2">
        <v>357</v>
      </c>
      <c r="F149" s="2">
        <v>19.4080317666801</v>
      </c>
      <c r="G149" s="2">
        <v>-71.55366031565363</v>
      </c>
      <c r="H149" s="8" t="str">
        <f>HYPERLINK(CONCATENATE("https://faluhong.users.earthengine.app/view/hispaniola-lc-validation#id=PF148;lat=19.4080317666801;lon=-71.55366031565363;year=2000;bf=40;level=18;"), "landsat_time_series")</f>
        <v>landsat_time_series</v>
      </c>
      <c r="I149" s="8" t="str">
        <f>HYPERLINK(CONCATENATE("https://jstnbraaten.users.earthengine.app/view/landsat-timeseries-explorer#run=true;lon=-71.55366031565363;lat=19.4080317666801;from=01-01;to=12-31;index=NBR;rgb=NIR%2FRED%2FGREEN;chipwidth=1;"), "landsat_chips")</f>
        <v>landsat_chips</v>
      </c>
      <c r="J149" s="8" t="str">
        <f>HYPERLINK(CONCATENATE("https://livingatlas.arcgis.com/wayback/#ext=-71.55466031565363,19.4090317666801,-71.55266031565363,19.4070317666801"), "wayback")</f>
        <v>wayback</v>
      </c>
      <c r="K149" s="2" t="s">
        <v>422</v>
      </c>
      <c r="L149" s="5"/>
      <c r="M149" s="5" t="s">
        <v>422</v>
      </c>
      <c r="N149" s="5"/>
    </row>
    <row r="150" spans="1:14" x14ac:dyDescent="0.35">
      <c r="A150" s="2">
        <v>149</v>
      </c>
      <c r="B150" s="2" t="s">
        <v>426</v>
      </c>
      <c r="C150" s="2" t="s">
        <v>581</v>
      </c>
      <c r="D150" s="2" t="s">
        <v>10</v>
      </c>
      <c r="E150" s="2">
        <v>1830</v>
      </c>
      <c r="F150" s="2">
        <v>18.991400402082579</v>
      </c>
      <c r="G150" s="2">
        <v>-71.119232264935604</v>
      </c>
      <c r="H150" s="8" t="str">
        <f>HYPERLINK(CONCATENATE("https://faluhong.users.earthengine.app/view/hispaniola-lc-validation#id=PF149;lat=18.99140040208258;lon=-71.1192322649356;year=2000;bf=40;level=18;"), "landsat_time_series")</f>
        <v>landsat_time_series</v>
      </c>
      <c r="I150" s="8" t="str">
        <f>HYPERLINK(CONCATENATE("https://jstnbraaten.users.earthengine.app/view/landsat-timeseries-explorer#run=true;lon=-71.1192322649356;lat=18.99140040208258;from=01-01;to=12-31;index=NBR;rgb=NIR%2FRED%2FGREEN;chipwidth=1;"), "landsat_chips")</f>
        <v>landsat_chips</v>
      </c>
      <c r="J150" s="8" t="str">
        <f>HYPERLINK(CONCATENATE("https://livingatlas.arcgis.com/wayback/#ext=-71.12023226493561,18.99240040208258,-71.1182322649356,18.990400402082578"), "wayback")</f>
        <v>wayback</v>
      </c>
      <c r="K150" s="2" t="s">
        <v>418</v>
      </c>
      <c r="L150" s="5"/>
      <c r="M150" s="5" t="s">
        <v>418</v>
      </c>
      <c r="N150" s="5" t="s">
        <v>420</v>
      </c>
    </row>
    <row r="151" spans="1:14" x14ac:dyDescent="0.35">
      <c r="A151" s="2">
        <v>150</v>
      </c>
      <c r="B151" s="2" t="s">
        <v>426</v>
      </c>
      <c r="C151" s="2" t="s">
        <v>582</v>
      </c>
      <c r="D151" s="2" t="s">
        <v>10</v>
      </c>
      <c r="E151" s="2">
        <v>609</v>
      </c>
      <c r="F151" s="2">
        <v>19.197421735901329</v>
      </c>
      <c r="G151" s="2">
        <v>-70.72959370142712</v>
      </c>
      <c r="H151" s="8" t="str">
        <f>HYPERLINK(CONCATENATE("https://faluhong.users.earthengine.app/view/hispaniola-lc-validation#id=PF150;lat=19.197421735901326;lon=-70.72959370142712;year=2000;bf=40;level=18;"), "landsat_time_series")</f>
        <v>landsat_time_series</v>
      </c>
      <c r="I151" s="8" t="str">
        <f>HYPERLINK(CONCATENATE("https://jstnbraaten.users.earthengine.app/view/landsat-timeseries-explorer#run=true;lon=-70.72959370142712;lat=19.197421735901326;from=01-01;to=12-31;index=NBR;rgb=NIR%2FRED%2FGREEN;chipwidth=1;"), "landsat_chips")</f>
        <v>landsat_chips</v>
      </c>
      <c r="J151" s="8" t="str">
        <f>HYPERLINK(CONCATENATE("https://livingatlas.arcgis.com/wayback/#ext=-70.73059370142713,19.198421735901327,-70.72859370142712,19.196421735901325"), "wayback")</f>
        <v>wayback</v>
      </c>
      <c r="K151" s="2" t="s">
        <v>422</v>
      </c>
      <c r="L151" s="5"/>
      <c r="M151" s="5" t="s">
        <v>422</v>
      </c>
      <c r="N151" s="5"/>
    </row>
    <row r="152" spans="1:14" x14ac:dyDescent="0.35">
      <c r="A152" s="2">
        <v>151</v>
      </c>
      <c r="B152" s="2" t="s">
        <v>426</v>
      </c>
      <c r="C152" s="2" t="s">
        <v>583</v>
      </c>
      <c r="D152" s="2" t="s">
        <v>20</v>
      </c>
      <c r="E152" s="2">
        <v>15</v>
      </c>
      <c r="F152" s="2">
        <v>19.16046549275832</v>
      </c>
      <c r="G152" s="2">
        <v>-72.569705983609367</v>
      </c>
      <c r="H152" s="8" t="str">
        <f>HYPERLINK(CONCATENATE("https://faluhong.users.earthengine.app/view/hispaniola-lc-validation#id=PF151;lat=19.160465492758316;lon=-72.56970598360937;year=2000;bf=40;level=18;"), "landsat_time_series")</f>
        <v>landsat_time_series</v>
      </c>
      <c r="I152" s="8" t="str">
        <f>HYPERLINK(CONCATENATE("https://jstnbraaten.users.earthengine.app/view/landsat-timeseries-explorer#run=true;lon=-72.56970598360937;lat=19.160465492758316;from=01-01;to=12-31;index=NBR;rgb=NIR%2FRED%2FGREEN;chipwidth=1;"), "landsat_chips")</f>
        <v>landsat_chips</v>
      </c>
      <c r="J152" s="8" t="str">
        <f>HYPERLINK(CONCATENATE("https://livingatlas.arcgis.com/wayback/#ext=-72.57070598360937,19.161465492758317,-72.56870598360936,19.159465492758315"), "wayback")</f>
        <v>wayback</v>
      </c>
      <c r="K152" s="2" t="s">
        <v>422</v>
      </c>
      <c r="L152" s="5"/>
      <c r="M152" s="5" t="s">
        <v>422</v>
      </c>
      <c r="N152" s="5"/>
    </row>
    <row r="153" spans="1:14" x14ac:dyDescent="0.35">
      <c r="A153" s="2">
        <v>152</v>
      </c>
      <c r="B153" s="2" t="s">
        <v>426</v>
      </c>
      <c r="C153" s="2" t="s">
        <v>584</v>
      </c>
      <c r="D153" s="2" t="s">
        <v>10</v>
      </c>
      <c r="E153" s="2">
        <v>32</v>
      </c>
      <c r="F153" s="2">
        <v>18.422391691682069</v>
      </c>
      <c r="G153" s="2">
        <v>-70.091414199288749</v>
      </c>
      <c r="H153" s="8" t="str">
        <f>HYPERLINK(CONCATENATE("https://faluhong.users.earthengine.app/view/hispaniola-lc-validation#id=PF152;lat=18.422391691682066;lon=-70.09141419928875;year=2000;bf=40;level=18;"), "landsat_time_series")</f>
        <v>landsat_time_series</v>
      </c>
      <c r="I153" s="8" t="str">
        <f>HYPERLINK(CONCATENATE("https://jstnbraaten.users.earthengine.app/view/landsat-timeseries-explorer#run=true;lon=-70.09141419928875;lat=18.422391691682066;from=01-01;to=12-31;index=NBR;rgb=NIR%2FRED%2FGREEN;chipwidth=1;"), "landsat_chips")</f>
        <v>landsat_chips</v>
      </c>
      <c r="J153" s="8" t="str">
        <f>HYPERLINK(CONCATENATE("https://livingatlas.arcgis.com/wayback/#ext=-70.09241419928875,18.423391691682067,-70.09041419928874,18.421391691682064"), "wayback")</f>
        <v>wayback</v>
      </c>
      <c r="K153" s="2" t="s">
        <v>422</v>
      </c>
      <c r="L153" s="5"/>
      <c r="M153" s="5" t="s">
        <v>422</v>
      </c>
      <c r="N153" s="5"/>
    </row>
    <row r="154" spans="1:14" x14ac:dyDescent="0.35">
      <c r="A154" s="2">
        <v>153</v>
      </c>
      <c r="B154" s="2" t="s">
        <v>426</v>
      </c>
      <c r="C154" s="2" t="s">
        <v>585</v>
      </c>
      <c r="D154" s="2" t="s">
        <v>20</v>
      </c>
      <c r="E154" s="2">
        <v>1194</v>
      </c>
      <c r="F154" s="2">
        <v>18.440017586235019</v>
      </c>
      <c r="G154" s="2">
        <v>-72.344785491597875</v>
      </c>
      <c r="H154" s="8" t="str">
        <f>HYPERLINK(CONCATENATE("https://faluhong.users.earthengine.app/view/hispaniola-lc-validation#id=PF153;lat=18.440017586235015;lon=-72.34478549159788;year=2000;bf=40;level=18;"), "landsat_time_series")</f>
        <v>landsat_time_series</v>
      </c>
      <c r="I154" s="8" t="str">
        <f>HYPERLINK(CONCATENATE("https://jstnbraaten.users.earthengine.app/view/landsat-timeseries-explorer#run=true;lon=-72.34478549159788;lat=18.440017586235015;from=01-01;to=12-31;index=NBR;rgb=NIR%2FRED%2FGREEN;chipwidth=1;"), "landsat_chips")</f>
        <v>landsat_chips</v>
      </c>
      <c r="J154" s="8" t="str">
        <f>HYPERLINK(CONCATENATE("https://livingatlas.arcgis.com/wayback/#ext=-72.34578549159788,18.441017586235017,-72.34378549159787,18.439017586235014"), "wayback")</f>
        <v>wayback</v>
      </c>
      <c r="K154" s="2" t="s">
        <v>422</v>
      </c>
      <c r="L154" s="5"/>
      <c r="M154" s="5" t="s">
        <v>422</v>
      </c>
      <c r="N154" s="5"/>
    </row>
    <row r="155" spans="1:14" x14ac:dyDescent="0.35">
      <c r="A155" s="2">
        <v>154</v>
      </c>
      <c r="B155" s="2" t="s">
        <v>426</v>
      </c>
      <c r="C155" s="2" t="s">
        <v>586</v>
      </c>
      <c r="D155" s="2" t="s">
        <v>10</v>
      </c>
      <c r="E155" s="2">
        <v>45</v>
      </c>
      <c r="F155" s="2">
        <v>18.769837852983649</v>
      </c>
      <c r="G155" s="2">
        <v>-69.930088950097783</v>
      </c>
      <c r="H155" s="8" t="str">
        <f>HYPERLINK(CONCATENATE("https://faluhong.users.earthengine.app/view/hispaniola-lc-validation#id=PF154;lat=18.76983785298365;lon=-69.93008895009778;year=2000;bf=40;level=18;"), "landsat_time_series")</f>
        <v>landsat_time_series</v>
      </c>
      <c r="I155" s="8" t="str">
        <f>HYPERLINK(CONCATENATE("https://jstnbraaten.users.earthengine.app/view/landsat-timeseries-explorer#run=true;lon=-69.93008895009778;lat=18.76983785298365;from=01-01;to=12-31;index=NBR;rgb=NIR%2FRED%2FGREEN;chipwidth=1;"), "landsat_chips")</f>
        <v>landsat_chips</v>
      </c>
      <c r="J155" s="8" t="str">
        <f>HYPERLINK(CONCATENATE("https://livingatlas.arcgis.com/wayback/#ext=-69.93108895009779,18.77083785298365,-69.92908895009778,18.768837852983648"), "wayback")</f>
        <v>wayback</v>
      </c>
      <c r="K155" s="2" t="s">
        <v>422</v>
      </c>
      <c r="L155" s="5"/>
      <c r="M155" s="5" t="s">
        <v>422</v>
      </c>
      <c r="N155" s="5"/>
    </row>
    <row r="156" spans="1:14" x14ac:dyDescent="0.35">
      <c r="A156" s="2">
        <v>155</v>
      </c>
      <c r="B156" s="2" t="s">
        <v>426</v>
      </c>
      <c r="C156" s="2" t="s">
        <v>587</v>
      </c>
      <c r="D156" s="2" t="s">
        <v>20</v>
      </c>
      <c r="E156" s="2">
        <v>340</v>
      </c>
      <c r="F156" s="2">
        <v>19.766392713747241</v>
      </c>
      <c r="G156" s="2">
        <v>-72.853609271663743</v>
      </c>
      <c r="H156" s="8" t="str">
        <f>HYPERLINK(CONCATENATE("https://faluhong.users.earthengine.app/view/hispaniola-lc-validation#id=PF155;lat=19.76639271374724;lon=-72.85360927166374;year=2000;bf=40;level=18;"), "landsat_time_series")</f>
        <v>landsat_time_series</v>
      </c>
      <c r="I156" s="8" t="str">
        <f>HYPERLINK(CONCATENATE("https://jstnbraaten.users.earthengine.app/view/landsat-timeseries-explorer#run=true;lon=-72.85360927166374;lat=19.76639271374724;from=01-01;to=12-31;index=NBR;rgb=NIR%2FRED%2FGREEN;chipwidth=1;"), "landsat_chips")</f>
        <v>landsat_chips</v>
      </c>
      <c r="J156" s="8" t="str">
        <f>HYPERLINK(CONCATENATE("https://livingatlas.arcgis.com/wayback/#ext=-72.85460927166375,19.767392713747242,-72.85260927166374,19.76539271374724"), "wayback")</f>
        <v>wayback</v>
      </c>
      <c r="K156" s="2" t="s">
        <v>422</v>
      </c>
      <c r="L156" s="5"/>
      <c r="M156" s="5" t="s">
        <v>422</v>
      </c>
      <c r="N156" s="5"/>
    </row>
    <row r="157" spans="1:14" x14ac:dyDescent="0.35">
      <c r="A157" s="2">
        <v>156</v>
      </c>
      <c r="B157" s="2" t="s">
        <v>426</v>
      </c>
      <c r="C157" s="2" t="s">
        <v>588</v>
      </c>
      <c r="D157" s="2" t="s">
        <v>10</v>
      </c>
      <c r="E157" s="2">
        <v>100</v>
      </c>
      <c r="F157" s="2">
        <v>18.39495649933944</v>
      </c>
      <c r="G157" s="2">
        <v>-68.501722287263405</v>
      </c>
      <c r="H157" s="8" t="str">
        <f>HYPERLINK(CONCATENATE("https://faluhong.users.earthengine.app/view/hispaniola-lc-validation#id=PF156;lat=18.394956499339436;lon=-68.5017222872634;year=2000;bf=40;level=18;"), "landsat_time_series")</f>
        <v>landsat_time_series</v>
      </c>
      <c r="I157" s="8" t="str">
        <f>HYPERLINK(CONCATENATE("https://jstnbraaten.users.earthengine.app/view/landsat-timeseries-explorer#run=true;lon=-68.5017222872634;lat=18.394956499339436;from=01-01;to=12-31;index=NBR;rgb=NIR%2FRED%2FGREEN;chipwidth=1;"), "landsat_chips")</f>
        <v>landsat_chips</v>
      </c>
      <c r="J157" s="8" t="str">
        <f>HYPERLINK(CONCATENATE("https://livingatlas.arcgis.com/wayback/#ext=-68.50272228726341,18.395956499339437,-68.5007222872634,18.393956499339435"), "wayback")</f>
        <v>wayback</v>
      </c>
      <c r="K157" s="2" t="s">
        <v>418</v>
      </c>
      <c r="L157" s="5"/>
      <c r="M157" s="5" t="s">
        <v>418</v>
      </c>
      <c r="N157" s="5" t="s">
        <v>922</v>
      </c>
    </row>
    <row r="158" spans="1:14" x14ac:dyDescent="0.35">
      <c r="A158" s="2">
        <v>157</v>
      </c>
      <c r="B158" s="2" t="s">
        <v>426</v>
      </c>
      <c r="C158" s="2" t="s">
        <v>589</v>
      </c>
      <c r="D158" s="2" t="s">
        <v>10</v>
      </c>
      <c r="E158" s="2">
        <v>1908</v>
      </c>
      <c r="F158" s="2">
        <v>18.192711474939561</v>
      </c>
      <c r="G158" s="2">
        <v>-71.53894794467152</v>
      </c>
      <c r="H158" s="8" t="str">
        <f>HYPERLINK(CONCATENATE("https://faluhong.users.earthengine.app/view/hispaniola-lc-validation#id=PF157;lat=18.192711474939557;lon=-71.53894794467152;year=2000;bf=40;level=18;"), "landsat_time_series")</f>
        <v>landsat_time_series</v>
      </c>
      <c r="I158" s="8" t="str">
        <f>HYPERLINK(CONCATENATE("https://jstnbraaten.users.earthengine.app/view/landsat-timeseries-explorer#run=true;lon=-71.53894794467152;lat=18.192711474939557;from=01-01;to=12-31;index=NBR;rgb=NIR%2FRED%2FGREEN;chipwidth=1;"), "landsat_chips")</f>
        <v>landsat_chips</v>
      </c>
      <c r="J158" s="8" t="str">
        <f>HYPERLINK(CONCATENATE("https://livingatlas.arcgis.com/wayback/#ext=-71.53994794467152,18.19371147493956,-71.53794794467152,18.191711474939556"), "wayback")</f>
        <v>wayback</v>
      </c>
      <c r="K158" s="2" t="s">
        <v>418</v>
      </c>
      <c r="L158" s="5"/>
      <c r="M158" s="5" t="s">
        <v>422</v>
      </c>
      <c r="N158" s="5"/>
    </row>
    <row r="159" spans="1:14" x14ac:dyDescent="0.35">
      <c r="A159" s="2">
        <v>158</v>
      </c>
      <c r="B159" s="2" t="s">
        <v>426</v>
      </c>
      <c r="C159" s="2" t="s">
        <v>590</v>
      </c>
      <c r="D159" s="2" t="s">
        <v>10</v>
      </c>
      <c r="E159" s="2">
        <v>364</v>
      </c>
      <c r="F159" s="2">
        <v>18.92248565218221</v>
      </c>
      <c r="G159" s="2">
        <v>-71.581107573847362</v>
      </c>
      <c r="H159" s="8" t="str">
        <f>HYPERLINK(CONCATENATE("https://faluhong.users.earthengine.app/view/hispaniola-lc-validation#id=PF158;lat=18.92248565218221;lon=-71.58110757384736;year=2000;bf=40;level=18;"), "landsat_time_series")</f>
        <v>landsat_time_series</v>
      </c>
      <c r="I159" s="8" t="str">
        <f>HYPERLINK(CONCATENATE("https://jstnbraaten.users.earthengine.app/view/landsat-timeseries-explorer#run=true;lon=-71.58110757384736;lat=18.92248565218221;from=01-01;to=12-31;index=NBR;rgb=NIR%2FRED%2FGREEN;chipwidth=1;"), "landsat_chips")</f>
        <v>landsat_chips</v>
      </c>
      <c r="J159" s="8" t="str">
        <f>HYPERLINK(CONCATENATE("https://livingatlas.arcgis.com/wayback/#ext=-71.58210757384737,18.92348565218221,-71.58010757384736,18.92148565218221"), "wayback")</f>
        <v>wayback</v>
      </c>
      <c r="K159" s="2" t="s">
        <v>422</v>
      </c>
      <c r="L159" s="5"/>
      <c r="M159" s="5" t="s">
        <v>422</v>
      </c>
      <c r="N159" s="5"/>
    </row>
    <row r="160" spans="1:14" x14ac:dyDescent="0.35">
      <c r="A160" s="2">
        <v>159</v>
      </c>
      <c r="B160" s="2" t="s">
        <v>426</v>
      </c>
      <c r="C160" s="2" t="s">
        <v>591</v>
      </c>
      <c r="D160" s="2" t="s">
        <v>20</v>
      </c>
      <c r="E160" s="2">
        <v>23</v>
      </c>
      <c r="F160" s="2">
        <v>18.523241916646938</v>
      </c>
      <c r="G160" s="2">
        <v>-71.972793926850372</v>
      </c>
      <c r="H160" s="8" t="str">
        <f>HYPERLINK(CONCATENATE("https://faluhong.users.earthengine.app/view/hispaniola-lc-validation#id=PF159;lat=18.523241916646942;lon=-71.97279392685037;year=2000;bf=40;level=18;"), "landsat_time_series")</f>
        <v>landsat_time_series</v>
      </c>
      <c r="I160" s="8" t="str">
        <f>HYPERLINK(CONCATENATE("https://jstnbraaten.users.earthengine.app/view/landsat-timeseries-explorer#run=true;lon=-71.97279392685037;lat=18.523241916646942;from=01-01;to=12-31;index=NBR;rgb=NIR%2FRED%2FGREEN;chipwidth=1;"), "landsat_chips")</f>
        <v>landsat_chips</v>
      </c>
      <c r="J160" s="8" t="str">
        <f>HYPERLINK(CONCATENATE("https://livingatlas.arcgis.com/wayback/#ext=-71.97379392685038,18.524241916646943,-71.97179392685037,18.52224191664694"), "wayback")</f>
        <v>wayback</v>
      </c>
      <c r="K160" s="2" t="s">
        <v>422</v>
      </c>
      <c r="L160" s="5"/>
      <c r="M160" s="5" t="s">
        <v>422</v>
      </c>
      <c r="N160" s="5"/>
    </row>
    <row r="161" spans="1:14" x14ac:dyDescent="0.35">
      <c r="A161" s="2">
        <v>160</v>
      </c>
      <c r="B161" s="2" t="s">
        <v>426</v>
      </c>
      <c r="C161" s="2" t="s">
        <v>592</v>
      </c>
      <c r="D161" s="2" t="s">
        <v>10</v>
      </c>
      <c r="E161" s="2">
        <v>723</v>
      </c>
      <c r="F161" s="2">
        <v>19.293320545341849</v>
      </c>
      <c r="G161" s="2">
        <v>-71.542861049484443</v>
      </c>
      <c r="H161" s="8" t="str">
        <f>HYPERLINK(CONCATENATE("https://faluhong.users.earthengine.app/view/hispaniola-lc-validation#id=PF160;lat=19.29332054534185;lon=-71.54286104948444;year=2000;bf=40;level=18;"), "landsat_time_series")</f>
        <v>landsat_time_series</v>
      </c>
      <c r="I161" s="8" t="str">
        <f>HYPERLINK(CONCATENATE("https://jstnbraaten.users.earthengine.app/view/landsat-timeseries-explorer#run=true;lon=-71.54286104948444;lat=19.29332054534185;from=01-01;to=12-31;index=NBR;rgb=NIR%2FRED%2FGREEN;chipwidth=1;"), "landsat_chips")</f>
        <v>landsat_chips</v>
      </c>
      <c r="J161" s="8" t="str">
        <f>HYPERLINK(CONCATENATE("https://livingatlas.arcgis.com/wayback/#ext=-71.54386104948445,19.29432054534185,-71.54186104948444,19.29232054534185"), "wayback")</f>
        <v>wayback</v>
      </c>
      <c r="K161" s="2" t="s">
        <v>422</v>
      </c>
      <c r="L161" s="5"/>
      <c r="M161" s="5" t="s">
        <v>422</v>
      </c>
      <c r="N161" s="5"/>
    </row>
    <row r="162" spans="1:14" x14ac:dyDescent="0.35">
      <c r="A162" s="2">
        <v>161</v>
      </c>
      <c r="B162" s="2" t="s">
        <v>426</v>
      </c>
      <c r="C162" s="2" t="s">
        <v>593</v>
      </c>
      <c r="D162" s="2" t="s">
        <v>10</v>
      </c>
      <c r="E162" s="2">
        <v>17</v>
      </c>
      <c r="F162" s="2">
        <v>18.472978702127069</v>
      </c>
      <c r="G162" s="2">
        <v>-69.826603773154616</v>
      </c>
      <c r="H162" s="8" t="str">
        <f>HYPERLINK(CONCATENATE("https://faluhong.users.earthengine.app/view/hispaniola-lc-validation#id=PF161;lat=18.472978702127065;lon=-69.82660377315462;year=2000;bf=40;level=18;"), "landsat_time_series")</f>
        <v>landsat_time_series</v>
      </c>
      <c r="I162" s="8" t="str">
        <f>HYPERLINK(CONCATENATE("https://jstnbraaten.users.earthengine.app/view/landsat-timeseries-explorer#run=true;lon=-69.82660377315462;lat=18.472978702127065;from=01-01;to=12-31;index=NBR;rgb=NIR%2FRED%2FGREEN;chipwidth=1;"), "landsat_chips")</f>
        <v>landsat_chips</v>
      </c>
      <c r="J162" s="8" t="str">
        <f>HYPERLINK(CONCATENATE("https://livingatlas.arcgis.com/wayback/#ext=-69.82760377315462,18.473978702127066,-69.82560377315461,18.471978702127064"), "wayback")</f>
        <v>wayback</v>
      </c>
      <c r="K162" s="2" t="s">
        <v>422</v>
      </c>
      <c r="L162" s="5"/>
      <c r="M162" s="5" t="s">
        <v>422</v>
      </c>
      <c r="N162" s="5"/>
    </row>
    <row r="163" spans="1:14" x14ac:dyDescent="0.35">
      <c r="A163" s="2">
        <v>162</v>
      </c>
      <c r="B163" s="2" t="s">
        <v>426</v>
      </c>
      <c r="C163" s="2" t="s">
        <v>594</v>
      </c>
      <c r="D163" s="2" t="s">
        <v>10</v>
      </c>
      <c r="E163" s="2">
        <v>53</v>
      </c>
      <c r="F163" s="2">
        <v>18.31886396359338</v>
      </c>
      <c r="G163" s="2">
        <v>-68.67450254982775</v>
      </c>
      <c r="H163" s="8" t="str">
        <f>HYPERLINK(CONCATENATE("https://faluhong.users.earthengine.app/view/hispaniola-lc-validation#id=PF162;lat=18.318863963593383;lon=-68.67450254982775;year=2000;bf=40;level=18;"), "landsat_time_series")</f>
        <v>landsat_time_series</v>
      </c>
      <c r="I163" s="8" t="str">
        <f>HYPERLINK(CONCATENATE("https://jstnbraaten.users.earthengine.app/view/landsat-timeseries-explorer#run=true;lon=-68.67450254982775;lat=18.318863963593383;from=01-01;to=12-31;index=NBR;rgb=NIR%2FRED%2FGREEN;chipwidth=1;"), "landsat_chips")</f>
        <v>landsat_chips</v>
      </c>
      <c r="J163" s="8" t="str">
        <f>HYPERLINK(CONCATENATE("https://livingatlas.arcgis.com/wayback/#ext=-68.67550254982775,18.319863963593384,-68.67350254982775,18.317863963593382"), "wayback")</f>
        <v>wayback</v>
      </c>
      <c r="K163" s="2" t="s">
        <v>422</v>
      </c>
      <c r="L163" s="5"/>
      <c r="M163" s="5" t="s">
        <v>422</v>
      </c>
      <c r="N163" s="5"/>
    </row>
    <row r="164" spans="1:14" x14ac:dyDescent="0.35">
      <c r="A164" s="2">
        <v>163</v>
      </c>
      <c r="B164" s="2" t="s">
        <v>426</v>
      </c>
      <c r="C164" s="2" t="s">
        <v>595</v>
      </c>
      <c r="D164" s="2" t="s">
        <v>10</v>
      </c>
      <c r="E164" s="2">
        <v>75</v>
      </c>
      <c r="F164" s="2">
        <v>18.682858320190391</v>
      </c>
      <c r="G164" s="2">
        <v>-68.622429921215101</v>
      </c>
      <c r="H164" s="8" t="str">
        <f>HYPERLINK(CONCATENATE("https://faluhong.users.earthengine.app/view/hispaniola-lc-validation#id=PF163;lat=18.682858320190395;lon=-68.6224299212151;year=2000;bf=40;level=18;"), "landsat_time_series")</f>
        <v>landsat_time_series</v>
      </c>
      <c r="I164" s="8" t="str">
        <f>HYPERLINK(CONCATENATE("https://jstnbraaten.users.earthengine.app/view/landsat-timeseries-explorer#run=true;lon=-68.6224299212151;lat=18.682858320190395;from=01-01;to=12-31;index=NBR;rgb=NIR%2FRED%2FGREEN;chipwidth=1;"), "landsat_chips")</f>
        <v>landsat_chips</v>
      </c>
      <c r="J164" s="8" t="str">
        <f>HYPERLINK(CONCATENATE("https://livingatlas.arcgis.com/wayback/#ext=-68.6234299212151,18.683858320190396,-68.6214299212151,18.681858320190393"), "wayback")</f>
        <v>wayback</v>
      </c>
      <c r="K164" s="2" t="s">
        <v>422</v>
      </c>
      <c r="L164" s="5"/>
      <c r="M164" s="5" t="s">
        <v>422</v>
      </c>
      <c r="N164" s="5"/>
    </row>
    <row r="165" spans="1:14" x14ac:dyDescent="0.35">
      <c r="A165" s="2">
        <v>164</v>
      </c>
      <c r="B165" s="2" t="s">
        <v>426</v>
      </c>
      <c r="C165" s="2" t="s">
        <v>596</v>
      </c>
      <c r="D165" s="2" t="s">
        <v>20</v>
      </c>
      <c r="E165" s="2">
        <v>402</v>
      </c>
      <c r="F165" s="2">
        <v>19.688013751283179</v>
      </c>
      <c r="G165" s="2">
        <v>-72.569222569563763</v>
      </c>
      <c r="H165" s="8" t="str">
        <f>HYPERLINK(CONCATENATE("https://faluhong.users.earthengine.app/view/hispaniola-lc-validation#id=PF164;lat=19.688013751283183;lon=-72.56922256956376;year=2000;bf=40;level=18;"), "landsat_time_series")</f>
        <v>landsat_time_series</v>
      </c>
      <c r="I165" s="8" t="str">
        <f>HYPERLINK(CONCATENATE("https://jstnbraaten.users.earthengine.app/view/landsat-timeseries-explorer#run=true;lon=-72.56922256956376;lat=19.688013751283183;from=01-01;to=12-31;index=NBR;rgb=NIR%2FRED%2FGREEN;chipwidth=1;"), "landsat_chips")</f>
        <v>landsat_chips</v>
      </c>
      <c r="J165" s="8" t="str">
        <f>HYPERLINK(CONCATENATE("https://livingatlas.arcgis.com/wayback/#ext=-72.57022256956377,19.689013751283184,-72.56822256956376,19.68701375128318"), "wayback")</f>
        <v>wayback</v>
      </c>
      <c r="K165" s="2" t="s">
        <v>422</v>
      </c>
      <c r="L165" s="5"/>
      <c r="M165" s="5" t="s">
        <v>422</v>
      </c>
      <c r="N165" s="5"/>
    </row>
    <row r="166" spans="1:14" x14ac:dyDescent="0.35">
      <c r="A166" s="2">
        <v>165</v>
      </c>
      <c r="B166" s="2" t="s">
        <v>426</v>
      </c>
      <c r="C166" s="2" t="s">
        <v>597</v>
      </c>
      <c r="D166" s="2" t="s">
        <v>20</v>
      </c>
      <c r="E166" s="2">
        <v>375</v>
      </c>
      <c r="F166" s="2">
        <v>19.450353688083311</v>
      </c>
      <c r="G166" s="2">
        <v>-72.008941434999755</v>
      </c>
      <c r="H166" s="8" t="str">
        <f>HYPERLINK(CONCATENATE("https://faluhong.users.earthengine.app/view/hispaniola-lc-validation#id=PF165;lat=19.450353688083315;lon=-72.00894143499976;year=2000;bf=40;level=18;"), "landsat_time_series")</f>
        <v>landsat_time_series</v>
      </c>
      <c r="I166" s="8" t="str">
        <f>HYPERLINK(CONCATENATE("https://jstnbraaten.users.earthengine.app/view/landsat-timeseries-explorer#run=true;lon=-72.00894143499976;lat=19.450353688083315;from=01-01;to=12-31;index=NBR;rgb=NIR%2FRED%2FGREEN;chipwidth=1;"), "landsat_chips")</f>
        <v>landsat_chips</v>
      </c>
      <c r="J166" s="8" t="str">
        <f>HYPERLINK(CONCATENATE("https://livingatlas.arcgis.com/wayback/#ext=-72.00994143499976,19.451353688083316,-72.00794143499975,19.449353688083313"), "wayback")</f>
        <v>wayback</v>
      </c>
      <c r="K166" s="2" t="s">
        <v>422</v>
      </c>
      <c r="L166" s="5"/>
      <c r="M166" s="5" t="s">
        <v>422</v>
      </c>
      <c r="N166" s="5"/>
    </row>
    <row r="167" spans="1:14" x14ac:dyDescent="0.35">
      <c r="A167" s="2">
        <v>166</v>
      </c>
      <c r="B167" s="2" t="s">
        <v>426</v>
      </c>
      <c r="C167" s="2" t="s">
        <v>598</v>
      </c>
      <c r="D167" s="2" t="s">
        <v>10</v>
      </c>
      <c r="E167" s="2">
        <v>107</v>
      </c>
      <c r="F167" s="2">
        <v>19.045651652225811</v>
      </c>
      <c r="G167" s="2">
        <v>-70.272512931477408</v>
      </c>
      <c r="H167" s="8" t="str">
        <f>HYPERLINK(CONCATENATE("https://faluhong.users.earthengine.app/view/hispaniola-lc-validation#id=PF166;lat=19.04565165222581;lon=-70.27251293147741;year=2000;bf=40;level=18;"), "landsat_time_series")</f>
        <v>landsat_time_series</v>
      </c>
      <c r="I167" s="8" t="str">
        <f>HYPERLINK(CONCATENATE("https://jstnbraaten.users.earthengine.app/view/landsat-timeseries-explorer#run=true;lon=-70.27251293147741;lat=19.04565165222581;from=01-01;to=12-31;index=NBR;rgb=NIR%2FRED%2FGREEN;chipwidth=1;"), "landsat_chips")</f>
        <v>landsat_chips</v>
      </c>
      <c r="J167" s="8" t="str">
        <f>HYPERLINK(CONCATENATE("https://livingatlas.arcgis.com/wayback/#ext=-70.27351293147741,19.046651652225812,-70.2715129314774,19.04465165222581"), "wayback")</f>
        <v>wayback</v>
      </c>
      <c r="K167" s="2" t="s">
        <v>422</v>
      </c>
      <c r="L167" s="5"/>
      <c r="M167" s="5" t="s">
        <v>422</v>
      </c>
      <c r="N167" s="5"/>
    </row>
    <row r="168" spans="1:14" x14ac:dyDescent="0.35">
      <c r="A168" s="2">
        <v>167</v>
      </c>
      <c r="B168" s="2" t="s">
        <v>426</v>
      </c>
      <c r="C168" s="2" t="s">
        <v>599</v>
      </c>
      <c r="D168" s="2" t="s">
        <v>20</v>
      </c>
      <c r="E168" s="2">
        <v>5</v>
      </c>
      <c r="F168" s="2">
        <v>19.256933203219031</v>
      </c>
      <c r="G168" s="2">
        <v>-72.719056924970019</v>
      </c>
      <c r="H168" s="8" t="str">
        <f>HYPERLINK(CONCATENATE("https://faluhong.users.earthengine.app/view/hispaniola-lc-validation#id=PF167;lat=19.25693320321903;lon=-72.71905692497002;year=2000;bf=40;level=18;"), "landsat_time_series")</f>
        <v>landsat_time_series</v>
      </c>
      <c r="I168" s="8" t="str">
        <f>HYPERLINK(CONCATENATE("https://jstnbraaten.users.earthengine.app/view/landsat-timeseries-explorer#run=true;lon=-72.71905692497002;lat=19.25693320321903;from=01-01;to=12-31;index=NBR;rgb=NIR%2FRED%2FGREEN;chipwidth=1;"), "landsat_chips")</f>
        <v>landsat_chips</v>
      </c>
      <c r="J168" s="8" t="str">
        <f>HYPERLINK(CONCATENATE("https://livingatlas.arcgis.com/wayback/#ext=-72.72005692497002,19.257933203219032,-72.71805692497001,19.25593320321903"), "wayback")</f>
        <v>wayback</v>
      </c>
      <c r="K168" s="2" t="s">
        <v>422</v>
      </c>
      <c r="L168" s="5"/>
      <c r="M168" s="5" t="s">
        <v>422</v>
      </c>
      <c r="N168" s="5"/>
    </row>
    <row r="169" spans="1:14" x14ac:dyDescent="0.35">
      <c r="A169" s="2">
        <v>168</v>
      </c>
      <c r="B169" s="2" t="s">
        <v>426</v>
      </c>
      <c r="C169" s="2" t="s">
        <v>600</v>
      </c>
      <c r="D169" s="2" t="s">
        <v>20</v>
      </c>
      <c r="E169" s="2">
        <v>1593</v>
      </c>
      <c r="F169" s="2">
        <v>18.38949835924376</v>
      </c>
      <c r="G169" s="2">
        <v>-74.001232267610774</v>
      </c>
      <c r="H169" s="8" t="str">
        <f>HYPERLINK(CONCATENATE("https://faluhong.users.earthengine.app/view/hispaniola-lc-validation#id=PF168;lat=18.389498359243756;lon=-74.00123226761077;year=2000;bf=40;level=18;"), "landsat_time_series")</f>
        <v>landsat_time_series</v>
      </c>
      <c r="I169" s="8" t="str">
        <f>HYPERLINK(CONCATENATE("https://jstnbraaten.users.earthengine.app/view/landsat-timeseries-explorer#run=true;lon=-74.00123226761077;lat=18.389498359243756;from=01-01;to=12-31;index=NBR;rgb=NIR%2FRED%2FGREEN;chipwidth=1;"), "landsat_chips")</f>
        <v>landsat_chips</v>
      </c>
      <c r="J169" s="8" t="str">
        <f>HYPERLINK(CONCATENATE("https://livingatlas.arcgis.com/wayback/#ext=-74.00223226761078,18.390498359243757,-74.00023226761077,18.388498359243755"), "wayback")</f>
        <v>wayback</v>
      </c>
      <c r="K169" s="2" t="s">
        <v>418</v>
      </c>
      <c r="L169" s="5"/>
      <c r="M169" s="5" t="s">
        <v>418</v>
      </c>
      <c r="N169" s="5" t="s">
        <v>421</v>
      </c>
    </row>
    <row r="170" spans="1:14" x14ac:dyDescent="0.35">
      <c r="A170" s="2">
        <v>169</v>
      </c>
      <c r="B170" s="2" t="s">
        <v>426</v>
      </c>
      <c r="C170" s="2" t="s">
        <v>601</v>
      </c>
      <c r="D170" s="2" t="s">
        <v>10</v>
      </c>
      <c r="E170" s="2">
        <v>960</v>
      </c>
      <c r="F170" s="2">
        <v>18.681410797220511</v>
      </c>
      <c r="G170" s="2">
        <v>-71.425985075543622</v>
      </c>
      <c r="H170" s="8" t="str">
        <f>HYPERLINK(CONCATENATE("https://faluhong.users.earthengine.app/view/hispaniola-lc-validation#id=PF169;lat=18.68141079722051;lon=-71.42598507554362;year=2000;bf=40;level=18;"), "landsat_time_series")</f>
        <v>landsat_time_series</v>
      </c>
      <c r="I170" s="8" t="str">
        <f>HYPERLINK(CONCATENATE("https://jstnbraaten.users.earthengine.app/view/landsat-timeseries-explorer#run=true;lon=-71.42598507554362;lat=18.68141079722051;from=01-01;to=12-31;index=NBR;rgb=NIR%2FRED%2FGREEN;chipwidth=1;"), "landsat_chips")</f>
        <v>landsat_chips</v>
      </c>
      <c r="J170" s="8" t="str">
        <f>HYPERLINK(CONCATENATE("https://livingatlas.arcgis.com/wayback/#ext=-71.42698507554363,18.682410797220513,-71.42498507554362,18.68041079722051"), "wayback")</f>
        <v>wayback</v>
      </c>
      <c r="K170" s="2" t="s">
        <v>422</v>
      </c>
      <c r="L170" s="5"/>
      <c r="M170" s="5" t="s">
        <v>422</v>
      </c>
      <c r="N170" s="5"/>
    </row>
    <row r="171" spans="1:14" x14ac:dyDescent="0.35">
      <c r="A171" s="2">
        <v>170</v>
      </c>
      <c r="B171" s="2" t="s">
        <v>426</v>
      </c>
      <c r="C171" s="2" t="s">
        <v>602</v>
      </c>
      <c r="D171" s="2" t="s">
        <v>10</v>
      </c>
      <c r="E171" s="2">
        <v>166</v>
      </c>
      <c r="F171" s="2">
        <v>18.844228014484379</v>
      </c>
      <c r="G171" s="2">
        <v>-69.734020006323561</v>
      </c>
      <c r="H171" s="8" t="str">
        <f>HYPERLINK(CONCATENATE("https://faluhong.users.earthengine.app/view/hispaniola-lc-validation#id=PF170;lat=18.844228014484376;lon=-69.73402000632356;year=2000;bf=40;level=18;"), "landsat_time_series")</f>
        <v>landsat_time_series</v>
      </c>
      <c r="I171" s="8" t="str">
        <f>HYPERLINK(CONCATENATE("https://jstnbraaten.users.earthengine.app/view/landsat-timeseries-explorer#run=true;lon=-69.73402000632356;lat=18.844228014484376;from=01-01;to=12-31;index=NBR;rgb=NIR%2FRED%2FGREEN;chipwidth=1;"), "landsat_chips")</f>
        <v>landsat_chips</v>
      </c>
      <c r="J171" s="8" t="str">
        <f>HYPERLINK(CONCATENATE("https://livingatlas.arcgis.com/wayback/#ext=-69.73502000632357,18.845228014484377,-69.73302000632356,18.843228014484374"), "wayback")</f>
        <v>wayback</v>
      </c>
      <c r="K171" s="2" t="s">
        <v>422</v>
      </c>
      <c r="L171" s="5"/>
      <c r="M171" s="5" t="s">
        <v>422</v>
      </c>
      <c r="N171" s="5"/>
    </row>
    <row r="172" spans="1:14" x14ac:dyDescent="0.35">
      <c r="A172" s="2">
        <v>171</v>
      </c>
      <c r="B172" s="2" t="s">
        <v>426</v>
      </c>
      <c r="C172" s="2" t="s">
        <v>603</v>
      </c>
      <c r="D172" s="2" t="s">
        <v>20</v>
      </c>
      <c r="E172" s="2">
        <v>18</v>
      </c>
      <c r="F172" s="2">
        <v>18.15938140837401</v>
      </c>
      <c r="G172" s="2">
        <v>-73.832322033816851</v>
      </c>
      <c r="H172" s="8" t="str">
        <f>HYPERLINK(CONCATENATE("https://faluhong.users.earthengine.app/view/hispaniola-lc-validation#id=PF171;lat=18.159381408374006;lon=-73.83232203381685;year=2000;bf=40;level=18;"), "landsat_time_series")</f>
        <v>landsat_time_series</v>
      </c>
      <c r="I172" s="8" t="str">
        <f>HYPERLINK(CONCATENATE("https://jstnbraaten.users.earthengine.app/view/landsat-timeseries-explorer#run=true;lon=-73.83232203381685;lat=18.159381408374006;from=01-01;to=12-31;index=NBR;rgb=NIR%2FRED%2FGREEN;chipwidth=1;"), "landsat_chips")</f>
        <v>landsat_chips</v>
      </c>
      <c r="J172" s="8" t="str">
        <f>HYPERLINK(CONCATENATE("https://livingatlas.arcgis.com/wayback/#ext=-73.83332203381686,18.160381408374008,-73.83132203381685,18.158381408374005"), "wayback")</f>
        <v>wayback</v>
      </c>
      <c r="K172" s="2" t="s">
        <v>422</v>
      </c>
      <c r="L172" s="5"/>
      <c r="M172" s="5" t="s">
        <v>422</v>
      </c>
      <c r="N172" s="5"/>
    </row>
    <row r="173" spans="1:14" x14ac:dyDescent="0.35">
      <c r="A173" s="2">
        <v>172</v>
      </c>
      <c r="B173" s="2" t="s">
        <v>426</v>
      </c>
      <c r="C173" s="2" t="s">
        <v>604</v>
      </c>
      <c r="D173" s="2" t="s">
        <v>10</v>
      </c>
      <c r="E173" s="2">
        <v>109</v>
      </c>
      <c r="F173" s="2">
        <v>19.2358969884469</v>
      </c>
      <c r="G173" s="2">
        <v>-70.077948569567752</v>
      </c>
      <c r="H173" s="8" t="str">
        <f>HYPERLINK(CONCATENATE("https://faluhong.users.earthengine.app/view/hispaniola-lc-validation#id=PF172;lat=19.235896988446896;lon=-70.07794856956775;year=2000;bf=40;level=18;"), "landsat_time_series")</f>
        <v>landsat_time_series</v>
      </c>
      <c r="I173" s="8" t="str">
        <f>HYPERLINK(CONCATENATE("https://jstnbraaten.users.earthengine.app/view/landsat-timeseries-explorer#run=true;lon=-70.07794856956775;lat=19.235896988446896;from=01-01;to=12-31;index=NBR;rgb=NIR%2FRED%2FGREEN;chipwidth=1;"), "landsat_chips")</f>
        <v>landsat_chips</v>
      </c>
      <c r="J173" s="8" t="str">
        <f>HYPERLINK(CONCATENATE("https://livingatlas.arcgis.com/wayback/#ext=-70.07894856956776,19.236896988446897,-70.07694856956775,19.234896988446895"), "wayback")</f>
        <v>wayback</v>
      </c>
      <c r="K173" s="2" t="s">
        <v>422</v>
      </c>
      <c r="L173" s="5"/>
      <c r="M173" s="5" t="s">
        <v>422</v>
      </c>
      <c r="N173" s="5"/>
    </row>
    <row r="174" spans="1:14" x14ac:dyDescent="0.35">
      <c r="A174" s="2">
        <v>173</v>
      </c>
      <c r="B174" s="2" t="s">
        <v>426</v>
      </c>
      <c r="C174" s="2" t="s">
        <v>605</v>
      </c>
      <c r="D174" s="2" t="s">
        <v>10</v>
      </c>
      <c r="E174" s="2">
        <v>538</v>
      </c>
      <c r="F174" s="2">
        <v>18.201643057172419</v>
      </c>
      <c r="G174" s="2">
        <v>-71.274087887595428</v>
      </c>
      <c r="H174" s="8" t="str">
        <f>HYPERLINK(CONCATENATE("https://faluhong.users.earthengine.app/view/hispaniola-lc-validation#id=PF173;lat=18.201643057172422;lon=-71.27408788759543;year=2000;bf=40;level=18;"), "landsat_time_series")</f>
        <v>landsat_time_series</v>
      </c>
      <c r="I174" s="8" t="str">
        <f>HYPERLINK(CONCATENATE("https://jstnbraaten.users.earthengine.app/view/landsat-timeseries-explorer#run=true;lon=-71.27408788759543;lat=18.201643057172422;from=01-01;to=12-31;index=NBR;rgb=NIR%2FRED%2FGREEN;chipwidth=1;"), "landsat_chips")</f>
        <v>landsat_chips</v>
      </c>
      <c r="J174" s="8" t="str">
        <f>HYPERLINK(CONCATENATE("https://livingatlas.arcgis.com/wayback/#ext=-71.27508788759543,18.202643057172423,-71.27308788759542,18.20064305717242"), "wayback")</f>
        <v>wayback</v>
      </c>
      <c r="K174" s="2" t="s">
        <v>422</v>
      </c>
      <c r="L174" s="5"/>
      <c r="M174" s="5" t="s">
        <v>422</v>
      </c>
      <c r="N174" s="5"/>
    </row>
    <row r="175" spans="1:14" x14ac:dyDescent="0.35">
      <c r="A175" s="2">
        <v>174</v>
      </c>
      <c r="B175" s="2" t="s">
        <v>426</v>
      </c>
      <c r="C175" s="2" t="s">
        <v>606</v>
      </c>
      <c r="D175" s="2" t="s">
        <v>10</v>
      </c>
      <c r="E175" s="2">
        <v>1236</v>
      </c>
      <c r="F175" s="2">
        <v>19.045721473044441</v>
      </c>
      <c r="G175" s="2">
        <v>-70.743330861824859</v>
      </c>
      <c r="H175" s="8" t="str">
        <f>HYPERLINK(CONCATENATE("https://faluhong.users.earthengine.app/view/hispaniola-lc-validation#id=PF174;lat=19.045721473044438;lon=-70.74333086182486;year=2000;bf=40;level=18;"), "landsat_time_series")</f>
        <v>landsat_time_series</v>
      </c>
      <c r="I175" s="8" t="str">
        <f>HYPERLINK(CONCATENATE("https://jstnbraaten.users.earthengine.app/view/landsat-timeseries-explorer#run=true;lon=-70.74333086182486;lat=19.045721473044438;from=01-01;to=12-31;index=NBR;rgb=NIR%2FRED%2FGREEN;chipwidth=1;"), "landsat_chips")</f>
        <v>landsat_chips</v>
      </c>
      <c r="J175" s="8" t="str">
        <f>HYPERLINK(CONCATENATE("https://livingatlas.arcgis.com/wayback/#ext=-70.74433086182486,19.04672147304444,-70.74233086182485,19.044721473044437"), "wayback")</f>
        <v>wayback</v>
      </c>
      <c r="K175" s="2" t="s">
        <v>418</v>
      </c>
      <c r="L175" s="5"/>
      <c r="M175" s="5" t="s">
        <v>422</v>
      </c>
      <c r="N175" s="5"/>
    </row>
    <row r="176" spans="1:14" x14ac:dyDescent="0.35">
      <c r="A176" s="2">
        <v>175</v>
      </c>
      <c r="B176" s="2" t="s">
        <v>426</v>
      </c>
      <c r="C176" s="2" t="s">
        <v>607</v>
      </c>
      <c r="D176" s="2" t="s">
        <v>20</v>
      </c>
      <c r="E176" s="2">
        <v>1800</v>
      </c>
      <c r="F176" s="2">
        <v>18.329011183963459</v>
      </c>
      <c r="G176" s="2">
        <v>-72.030287266614437</v>
      </c>
      <c r="H176" s="8" t="str">
        <f>HYPERLINK(CONCATENATE("https://faluhong.users.earthengine.app/view/hispaniola-lc-validation#id=PF175;lat=18.329011183963463;lon=-72.03028726661444;year=2000;bf=40;level=18;"), "landsat_time_series")</f>
        <v>landsat_time_series</v>
      </c>
      <c r="I176" s="8" t="str">
        <f>HYPERLINK(CONCATENATE("https://jstnbraaten.users.earthengine.app/view/landsat-timeseries-explorer#run=true;lon=-72.03028726661444;lat=18.329011183963463;from=01-01;to=12-31;index=NBR;rgb=NIR%2FRED%2FGREEN;chipwidth=1;"), "landsat_chips")</f>
        <v>landsat_chips</v>
      </c>
      <c r="J176" s="8" t="str">
        <f>HYPERLINK(CONCATENATE("https://livingatlas.arcgis.com/wayback/#ext=-72.03128726661444,18.330011183963464,-72.02928726661443,18.32801118396346"), "wayback")</f>
        <v>wayback</v>
      </c>
      <c r="K176" s="2" t="s">
        <v>418</v>
      </c>
      <c r="L176" s="5" t="b">
        <v>1</v>
      </c>
      <c r="M176" s="5"/>
      <c r="N176" s="5"/>
    </row>
    <row r="177" spans="1:14" x14ac:dyDescent="0.35">
      <c r="A177" s="2">
        <v>176</v>
      </c>
      <c r="B177" s="2" t="s">
        <v>426</v>
      </c>
      <c r="C177" s="2" t="s">
        <v>608</v>
      </c>
      <c r="D177" s="2" t="s">
        <v>20</v>
      </c>
      <c r="E177" s="2">
        <v>341</v>
      </c>
      <c r="F177" s="2">
        <v>19.273478257703111</v>
      </c>
      <c r="G177" s="2">
        <v>-72.06499462680209</v>
      </c>
      <c r="H177" s="8" t="str">
        <f>HYPERLINK(CONCATENATE("https://faluhong.users.earthengine.app/view/hispaniola-lc-validation#id=PF176;lat=19.273478257703115;lon=-72.06499462680209;year=2000;bf=40;level=18;"), "landsat_time_series")</f>
        <v>landsat_time_series</v>
      </c>
      <c r="I177" s="8" t="str">
        <f>HYPERLINK(CONCATENATE("https://jstnbraaten.users.earthengine.app/view/landsat-timeseries-explorer#run=true;lon=-72.06499462680209;lat=19.273478257703115;from=01-01;to=12-31;index=NBR;rgb=NIR%2FRED%2FGREEN;chipwidth=1;"), "landsat_chips")</f>
        <v>landsat_chips</v>
      </c>
      <c r="J177" s="8" t="str">
        <f>HYPERLINK(CONCATENATE("https://livingatlas.arcgis.com/wayback/#ext=-72.0659946268021,19.274478257703116,-72.06399462680209,19.272478257703114"), "wayback")</f>
        <v>wayback</v>
      </c>
      <c r="K177" s="2" t="s">
        <v>422</v>
      </c>
      <c r="L177" s="5"/>
      <c r="M177" s="5" t="s">
        <v>422</v>
      </c>
      <c r="N177" s="5"/>
    </row>
    <row r="178" spans="1:14" x14ac:dyDescent="0.35">
      <c r="A178" s="2">
        <v>177</v>
      </c>
      <c r="B178" s="2" t="s">
        <v>426</v>
      </c>
      <c r="C178" s="2" t="s">
        <v>609</v>
      </c>
      <c r="D178" s="2" t="s">
        <v>10</v>
      </c>
      <c r="E178" s="2">
        <v>2329</v>
      </c>
      <c r="F178" s="2">
        <v>19.077014189885102</v>
      </c>
      <c r="G178" s="2">
        <v>-71.072189300257349</v>
      </c>
      <c r="H178" s="8" t="str">
        <f>HYPERLINK(CONCATENATE("https://faluhong.users.earthengine.app/view/hispaniola-lc-validation#id=PF177;lat=19.077014189885098;lon=-71.07218930025735;year=2000;bf=40;level=18;"), "landsat_time_series")</f>
        <v>landsat_time_series</v>
      </c>
      <c r="I178" s="8" t="str">
        <f>HYPERLINK(CONCATENATE("https://jstnbraaten.users.earthengine.app/view/landsat-timeseries-explorer#run=true;lon=-71.07218930025735;lat=19.077014189885098;from=01-01;to=12-31;index=NBR;rgb=NIR%2FRED%2FGREEN;chipwidth=1;"), "landsat_chips")</f>
        <v>landsat_chips</v>
      </c>
      <c r="J178" s="8" t="str">
        <f>HYPERLINK(CONCATENATE("https://livingatlas.arcgis.com/wayback/#ext=-71.07318930025735,19.0780141898851,-71.07118930025734,19.076014189885097"), "wayback")</f>
        <v>wayback</v>
      </c>
      <c r="K178" s="2" t="s">
        <v>418</v>
      </c>
      <c r="L178" s="5"/>
      <c r="M178" s="5" t="s">
        <v>418</v>
      </c>
      <c r="N178" s="5" t="s">
        <v>419</v>
      </c>
    </row>
    <row r="179" spans="1:14" x14ac:dyDescent="0.35">
      <c r="A179" s="2">
        <v>178</v>
      </c>
      <c r="B179" s="2" t="s">
        <v>426</v>
      </c>
      <c r="C179" s="2" t="s">
        <v>610</v>
      </c>
      <c r="D179" s="2" t="s">
        <v>10</v>
      </c>
      <c r="E179" s="2">
        <v>26</v>
      </c>
      <c r="F179" s="2">
        <v>18.420904468424141</v>
      </c>
      <c r="G179" s="2">
        <v>-69.516420569460962</v>
      </c>
      <c r="H179" s="8" t="str">
        <f>HYPERLINK(CONCATENATE("https://faluhong.users.earthengine.app/view/hispaniola-lc-validation#id=PF178;lat=18.42090446842414;lon=-69.51642056946096;year=2000;bf=40;level=18;"), "landsat_time_series")</f>
        <v>landsat_time_series</v>
      </c>
      <c r="I179" s="8" t="str">
        <f>HYPERLINK(CONCATENATE("https://jstnbraaten.users.earthengine.app/view/landsat-timeseries-explorer#run=true;lon=-69.51642056946096;lat=18.42090446842414;from=01-01;to=12-31;index=NBR;rgb=NIR%2FRED%2FGREEN;chipwidth=1;"), "landsat_chips")</f>
        <v>landsat_chips</v>
      </c>
      <c r="J179" s="8" t="str">
        <f>HYPERLINK(CONCATENATE("https://livingatlas.arcgis.com/wayback/#ext=-69.51742056946097,18.42190446842414,-69.51542056946096,18.41990446842414"), "wayback")</f>
        <v>wayback</v>
      </c>
      <c r="K179" s="2" t="s">
        <v>422</v>
      </c>
      <c r="L179" s="5"/>
      <c r="M179" s="5" t="s">
        <v>422</v>
      </c>
      <c r="N179" s="5"/>
    </row>
    <row r="180" spans="1:14" x14ac:dyDescent="0.35">
      <c r="A180" s="2">
        <v>179</v>
      </c>
      <c r="B180" s="2" t="s">
        <v>426</v>
      </c>
      <c r="C180" s="2" t="s">
        <v>611</v>
      </c>
      <c r="D180" s="2" t="s">
        <v>10</v>
      </c>
      <c r="E180" s="2">
        <v>42</v>
      </c>
      <c r="F180" s="2">
        <v>18.611641252445231</v>
      </c>
      <c r="G180" s="2">
        <v>-69.306079619877352</v>
      </c>
      <c r="H180" s="8" t="str">
        <f>HYPERLINK(CONCATENATE("https://faluhong.users.earthengine.app/view/hispaniola-lc-validation#id=PF179;lat=18.61164125244523;lon=-69.30607961987735;year=2000;bf=40;level=18;"), "landsat_time_series")</f>
        <v>landsat_time_series</v>
      </c>
      <c r="I180" s="8" t="str">
        <f>HYPERLINK(CONCATENATE("https://jstnbraaten.users.earthengine.app/view/landsat-timeseries-explorer#run=true;lon=-69.30607961987735;lat=18.61164125244523;from=01-01;to=12-31;index=NBR;rgb=NIR%2FRED%2FGREEN;chipwidth=1;"), "landsat_chips")</f>
        <v>landsat_chips</v>
      </c>
      <c r="J180" s="8" t="str">
        <f>HYPERLINK(CONCATENATE("https://livingatlas.arcgis.com/wayback/#ext=-69.30707961987736,18.612641252445233,-69.30507961987735,18.61064125244523"), "wayback")</f>
        <v>wayback</v>
      </c>
      <c r="K180" s="2" t="s">
        <v>422</v>
      </c>
      <c r="L180" s="5"/>
      <c r="M180" s="5" t="s">
        <v>422</v>
      </c>
      <c r="N180" s="5"/>
    </row>
    <row r="181" spans="1:14" x14ac:dyDescent="0.35">
      <c r="A181" s="2">
        <v>180</v>
      </c>
      <c r="B181" s="2" t="s">
        <v>426</v>
      </c>
      <c r="C181" s="2" t="s">
        <v>612</v>
      </c>
      <c r="D181" s="2" t="s">
        <v>10</v>
      </c>
      <c r="E181" s="2">
        <v>1425</v>
      </c>
      <c r="F181" s="2">
        <v>18.14116067649833</v>
      </c>
      <c r="G181" s="2">
        <v>-71.590446739055366</v>
      </c>
      <c r="H181" s="8" t="str">
        <f>HYPERLINK(CONCATENATE("https://faluhong.users.earthengine.app/view/hispaniola-lc-validation#id=PF180;lat=18.141160676498327;lon=-71.59044673905537;year=2000;bf=40;level=18;"), "landsat_time_series")</f>
        <v>landsat_time_series</v>
      </c>
      <c r="I181" s="8" t="str">
        <f>HYPERLINK(CONCATENATE("https://jstnbraaten.users.earthengine.app/view/landsat-timeseries-explorer#run=true;lon=-71.59044673905537;lat=18.141160676498327;from=01-01;to=12-31;index=NBR;rgb=NIR%2FRED%2FGREEN;chipwidth=1;"), "landsat_chips")</f>
        <v>landsat_chips</v>
      </c>
      <c r="J181" s="8" t="str">
        <f>HYPERLINK(CONCATENATE("https://livingatlas.arcgis.com/wayback/#ext=-71.59144673905537,18.142160676498328,-71.58944673905536,18.140160676498326"), "wayback")</f>
        <v>wayback</v>
      </c>
      <c r="K181" s="2" t="s">
        <v>418</v>
      </c>
      <c r="L181" s="5"/>
      <c r="M181" s="5" t="s">
        <v>422</v>
      </c>
      <c r="N181" s="5"/>
    </row>
    <row r="182" spans="1:14" x14ac:dyDescent="0.35">
      <c r="A182" s="2">
        <v>181</v>
      </c>
      <c r="B182" s="2" t="s">
        <v>426</v>
      </c>
      <c r="C182" s="2" t="s">
        <v>613</v>
      </c>
      <c r="D182" s="2" t="s">
        <v>10</v>
      </c>
      <c r="E182" s="2">
        <v>222</v>
      </c>
      <c r="F182" s="2">
        <v>19.435831398440381</v>
      </c>
      <c r="G182" s="2">
        <v>-70.552323937804886</v>
      </c>
      <c r="H182" s="8" t="str">
        <f>HYPERLINK(CONCATENATE("https://faluhong.users.earthengine.app/view/hispaniola-lc-validation#id=PF181;lat=19.43583139844038;lon=-70.55232393780489;year=2000;bf=40;level=18;"), "landsat_time_series")</f>
        <v>landsat_time_series</v>
      </c>
      <c r="I182" s="8" t="str">
        <f>HYPERLINK(CONCATENATE("https://jstnbraaten.users.earthengine.app/view/landsat-timeseries-explorer#run=true;lon=-70.55232393780489;lat=19.43583139844038;from=01-01;to=12-31;index=NBR;rgb=NIR%2FRED%2FGREEN;chipwidth=1;"), "landsat_chips")</f>
        <v>landsat_chips</v>
      </c>
      <c r="J182" s="8" t="str">
        <f>HYPERLINK(CONCATENATE("https://livingatlas.arcgis.com/wayback/#ext=-70.55332393780489,19.436831398440383,-70.55132393780488,19.43483139844038"), "wayback")</f>
        <v>wayback</v>
      </c>
      <c r="K182" s="2" t="s">
        <v>422</v>
      </c>
      <c r="L182" s="5"/>
      <c r="M182" s="5" t="s">
        <v>422</v>
      </c>
      <c r="N182" s="5"/>
    </row>
    <row r="183" spans="1:14" x14ac:dyDescent="0.35">
      <c r="A183" s="2">
        <v>182</v>
      </c>
      <c r="B183" s="2" t="s">
        <v>426</v>
      </c>
      <c r="C183" s="2" t="s">
        <v>614</v>
      </c>
      <c r="D183" s="2" t="s">
        <v>10</v>
      </c>
      <c r="E183" s="2">
        <v>295</v>
      </c>
      <c r="F183" s="2">
        <v>19.27875638656743</v>
      </c>
      <c r="G183" s="2">
        <v>-70.602785687623808</v>
      </c>
      <c r="H183" s="8" t="str">
        <f>HYPERLINK(CONCATENATE("https://faluhong.users.earthengine.app/view/hispaniola-lc-validation#id=PF182;lat=19.27875638656743;lon=-70.60278568762381;year=2000;bf=40;level=18;"), "landsat_time_series")</f>
        <v>landsat_time_series</v>
      </c>
      <c r="I183" s="8" t="str">
        <f>HYPERLINK(CONCATENATE("https://jstnbraaten.users.earthengine.app/view/landsat-timeseries-explorer#run=true;lon=-70.60278568762381;lat=19.27875638656743;from=01-01;to=12-31;index=NBR;rgb=NIR%2FRED%2FGREEN;chipwidth=1;"), "landsat_chips")</f>
        <v>landsat_chips</v>
      </c>
      <c r="J183" s="8" t="str">
        <f>HYPERLINK(CONCATENATE("https://livingatlas.arcgis.com/wayback/#ext=-70.60378568762381,19.27975638656743,-70.6017856876238,19.27775638656743"), "wayback")</f>
        <v>wayback</v>
      </c>
      <c r="K183" s="2" t="s">
        <v>422</v>
      </c>
      <c r="L183" s="5"/>
      <c r="M183" s="5" t="s">
        <v>422</v>
      </c>
      <c r="N183" s="5"/>
    </row>
    <row r="184" spans="1:14" x14ac:dyDescent="0.35">
      <c r="A184" s="2">
        <v>183</v>
      </c>
      <c r="B184" s="2" t="s">
        <v>426</v>
      </c>
      <c r="C184" s="2" t="s">
        <v>615</v>
      </c>
      <c r="D184" s="2" t="s">
        <v>10</v>
      </c>
      <c r="E184" s="2">
        <v>97</v>
      </c>
      <c r="F184" s="2">
        <v>18.607069105232519</v>
      </c>
      <c r="G184" s="2">
        <v>-69.011422450564368</v>
      </c>
      <c r="H184" s="8" t="str">
        <f>HYPERLINK(CONCATENATE("https://faluhong.users.earthengine.app/view/hispaniola-lc-validation#id=PF183;lat=18.607069105232515;lon=-69.01142245056437;year=2000;bf=40;level=18;"), "landsat_time_series")</f>
        <v>landsat_time_series</v>
      </c>
      <c r="I184" s="8" t="str">
        <f>HYPERLINK(CONCATENATE("https://jstnbraaten.users.earthengine.app/view/landsat-timeseries-explorer#run=true;lon=-69.01142245056437;lat=18.607069105232515;from=01-01;to=12-31;index=NBR;rgb=NIR%2FRED%2FGREEN;chipwidth=1;"), "landsat_chips")</f>
        <v>landsat_chips</v>
      </c>
      <c r="J184" s="8" t="str">
        <f>HYPERLINK(CONCATENATE("https://livingatlas.arcgis.com/wayback/#ext=-69.01242245056437,18.608069105232516,-69.01042245056436,18.606069105232514"), "wayback")</f>
        <v>wayback</v>
      </c>
      <c r="K184" s="2" t="s">
        <v>422</v>
      </c>
      <c r="L184" s="5"/>
      <c r="M184" s="5" t="s">
        <v>422</v>
      </c>
      <c r="N184" s="5"/>
    </row>
    <row r="185" spans="1:14" x14ac:dyDescent="0.35">
      <c r="A185" s="2">
        <v>184</v>
      </c>
      <c r="B185" s="2" t="s">
        <v>426</v>
      </c>
      <c r="C185" s="2" t="s">
        <v>616</v>
      </c>
      <c r="D185" s="2" t="s">
        <v>10</v>
      </c>
      <c r="E185" s="2">
        <v>1073</v>
      </c>
      <c r="F185" s="2">
        <v>19.194639811476382</v>
      </c>
      <c r="G185" s="2">
        <v>-70.971458643466008</v>
      </c>
      <c r="H185" s="8" t="str">
        <f>HYPERLINK(CONCATENATE("https://faluhong.users.earthengine.app/view/hispaniola-lc-validation#id=PF184;lat=19.19463981147638;lon=-70.97145864346601;year=2000;bf=40;level=18;"), "landsat_time_series")</f>
        <v>landsat_time_series</v>
      </c>
      <c r="I185" s="8" t="str">
        <f>HYPERLINK(CONCATENATE("https://jstnbraaten.users.earthengine.app/view/landsat-timeseries-explorer#run=true;lon=-70.97145864346601;lat=19.19463981147638;from=01-01;to=12-31;index=NBR;rgb=NIR%2FRED%2FGREEN;chipwidth=1;"), "landsat_chips")</f>
        <v>landsat_chips</v>
      </c>
      <c r="J185" s="8" t="str">
        <f>HYPERLINK(CONCATENATE("https://livingatlas.arcgis.com/wayback/#ext=-70.97245864346601,19.195639811476383,-70.970458643466,19.19363981147638"), "wayback")</f>
        <v>wayback</v>
      </c>
      <c r="K185" s="2" t="s">
        <v>422</v>
      </c>
      <c r="L185" s="5"/>
      <c r="M185" s="5" t="s">
        <v>422</v>
      </c>
      <c r="N185" s="5"/>
    </row>
    <row r="186" spans="1:14" x14ac:dyDescent="0.35">
      <c r="A186" s="2">
        <v>185</v>
      </c>
      <c r="B186" s="2" t="s">
        <v>426</v>
      </c>
      <c r="C186" s="2" t="s">
        <v>617</v>
      </c>
      <c r="D186" s="2" t="s">
        <v>10</v>
      </c>
      <c r="E186" s="2">
        <v>119</v>
      </c>
      <c r="F186" s="2">
        <v>19.482133480965281</v>
      </c>
      <c r="G186" s="2">
        <v>-71.667941797560459</v>
      </c>
      <c r="H186" s="8" t="str">
        <f>HYPERLINK(CONCATENATE("https://faluhong.users.earthengine.app/view/hispaniola-lc-validation#id=PF185;lat=19.482133480965285;lon=-71.66794179756046;year=2000;bf=40;level=18;"), "landsat_time_series")</f>
        <v>landsat_time_series</v>
      </c>
      <c r="I186" s="8" t="str">
        <f>HYPERLINK(CONCATENATE("https://jstnbraaten.users.earthengine.app/view/landsat-timeseries-explorer#run=true;lon=-71.66794179756046;lat=19.482133480965285;from=01-01;to=12-31;index=NBR;rgb=NIR%2FRED%2FGREEN;chipwidth=1;"), "landsat_chips")</f>
        <v>landsat_chips</v>
      </c>
      <c r="J186" s="8" t="str">
        <f>HYPERLINK(CONCATENATE("https://livingatlas.arcgis.com/wayback/#ext=-71.66894179756046,19.483133480965286,-71.66694179756045,19.481133480965283"), "wayback")</f>
        <v>wayback</v>
      </c>
      <c r="K186" s="2" t="s">
        <v>422</v>
      </c>
      <c r="L186" s="5"/>
      <c r="M186" s="5" t="s">
        <v>422</v>
      </c>
      <c r="N186" s="5"/>
    </row>
    <row r="187" spans="1:14" x14ac:dyDescent="0.35">
      <c r="A187" s="2">
        <v>186</v>
      </c>
      <c r="B187" s="2" t="s">
        <v>426</v>
      </c>
      <c r="C187" s="2" t="s">
        <v>618</v>
      </c>
      <c r="D187" s="2" t="s">
        <v>20</v>
      </c>
      <c r="E187" s="2">
        <v>29</v>
      </c>
      <c r="F187" s="2">
        <v>18.41853013833445</v>
      </c>
      <c r="G187" s="2">
        <v>-72.729803441280168</v>
      </c>
      <c r="H187" s="8" t="str">
        <f>HYPERLINK(CONCATENATE("https://faluhong.users.earthengine.app/view/hispaniola-lc-validation#id=PF186;lat=18.418530138334454;lon=-72.72980344128017;year=2000;bf=40;level=18;"), "landsat_time_series")</f>
        <v>landsat_time_series</v>
      </c>
      <c r="I187" s="8" t="str">
        <f>HYPERLINK(CONCATENATE("https://jstnbraaten.users.earthengine.app/view/landsat-timeseries-explorer#run=true;lon=-72.72980344128017;lat=18.418530138334454;from=01-01;to=12-31;index=NBR;rgb=NIR%2FRED%2FGREEN;chipwidth=1;"), "landsat_chips")</f>
        <v>landsat_chips</v>
      </c>
      <c r="J187" s="8" t="str">
        <f>HYPERLINK(CONCATENATE("https://livingatlas.arcgis.com/wayback/#ext=-72.73080344128017,18.419530138334455,-72.72880344128016,18.417530138334453"), "wayback")</f>
        <v>wayback</v>
      </c>
      <c r="K187" s="2" t="s">
        <v>422</v>
      </c>
      <c r="L187" s="5"/>
      <c r="M187" s="5" t="s">
        <v>422</v>
      </c>
      <c r="N187" s="5"/>
    </row>
    <row r="188" spans="1:14" x14ac:dyDescent="0.35">
      <c r="A188" s="2">
        <v>187</v>
      </c>
      <c r="B188" s="2" t="s">
        <v>426</v>
      </c>
      <c r="C188" s="2" t="s">
        <v>619</v>
      </c>
      <c r="D188" s="2" t="s">
        <v>10</v>
      </c>
      <c r="E188" s="2">
        <v>125</v>
      </c>
      <c r="F188" s="2">
        <v>18.812586536111638</v>
      </c>
      <c r="G188" s="2">
        <v>-69.038046538671196</v>
      </c>
      <c r="H188" s="8" t="str">
        <f>HYPERLINK(CONCATENATE("https://faluhong.users.earthengine.app/view/hispaniola-lc-validation#id=PF187;lat=18.812586536111642;lon=-69.0380465386712;year=2000;bf=40;level=18;"), "landsat_time_series")</f>
        <v>landsat_time_series</v>
      </c>
      <c r="I188" s="8" t="str">
        <f>HYPERLINK(CONCATENATE("https://jstnbraaten.users.earthengine.app/view/landsat-timeseries-explorer#run=true;lon=-69.0380465386712;lat=18.812586536111642;from=01-01;to=12-31;index=NBR;rgb=NIR%2FRED%2FGREEN;chipwidth=1;"), "landsat_chips")</f>
        <v>landsat_chips</v>
      </c>
      <c r="J188" s="8" t="str">
        <f>HYPERLINK(CONCATENATE("https://livingatlas.arcgis.com/wayback/#ext=-69.0390465386712,18.813586536111643,-69.03704653867119,18.81158653611164"), "wayback")</f>
        <v>wayback</v>
      </c>
      <c r="K188" s="2" t="s">
        <v>422</v>
      </c>
      <c r="L188" s="5"/>
      <c r="M188" s="5" t="s">
        <v>422</v>
      </c>
      <c r="N188" s="5"/>
    </row>
    <row r="189" spans="1:14" x14ac:dyDescent="0.35">
      <c r="A189" s="2">
        <v>188</v>
      </c>
      <c r="B189" s="2" t="s">
        <v>426</v>
      </c>
      <c r="C189" s="2" t="s">
        <v>620</v>
      </c>
      <c r="D189" s="2" t="s">
        <v>10</v>
      </c>
      <c r="E189" s="2">
        <v>301</v>
      </c>
      <c r="F189" s="2">
        <v>18.953142332264449</v>
      </c>
      <c r="G189" s="2">
        <v>-70.033267643485047</v>
      </c>
      <c r="H189" s="8" t="str">
        <f>HYPERLINK(CONCATENATE("https://faluhong.users.earthengine.app/view/hispaniola-lc-validation#id=PF188;lat=18.95314233226445;lon=-70.03326764348505;year=2000;bf=40;level=18;"), "landsat_time_series")</f>
        <v>landsat_time_series</v>
      </c>
      <c r="I189" s="8" t="str">
        <f>HYPERLINK(CONCATENATE("https://jstnbraaten.users.earthengine.app/view/landsat-timeseries-explorer#run=true;lon=-70.03326764348505;lat=18.95314233226445;from=01-01;to=12-31;index=NBR;rgb=NIR%2FRED%2FGREEN;chipwidth=1;"), "landsat_chips")</f>
        <v>landsat_chips</v>
      </c>
      <c r="J189" s="8" t="str">
        <f>HYPERLINK(CONCATENATE("https://livingatlas.arcgis.com/wayback/#ext=-70.03426764348505,18.95414233226445,-70.03226764348504,18.952142332264447"), "wayback")</f>
        <v>wayback</v>
      </c>
      <c r="K189" s="2" t="s">
        <v>422</v>
      </c>
      <c r="L189" s="5"/>
      <c r="M189" s="5" t="s">
        <v>422</v>
      </c>
      <c r="N189" s="5"/>
    </row>
    <row r="190" spans="1:14" x14ac:dyDescent="0.35">
      <c r="A190" s="2">
        <v>189</v>
      </c>
      <c r="B190" s="2" t="s">
        <v>426</v>
      </c>
      <c r="C190" s="2" t="s">
        <v>621</v>
      </c>
      <c r="D190" s="2" t="s">
        <v>10</v>
      </c>
      <c r="E190" s="2">
        <v>39</v>
      </c>
      <c r="F190" s="2">
        <v>18.25548093354092</v>
      </c>
      <c r="G190" s="2">
        <v>-70.269357419464072</v>
      </c>
      <c r="H190" s="8" t="str">
        <f>HYPERLINK(CONCATENATE("https://faluhong.users.earthengine.app/view/hispaniola-lc-validation#id=PF189;lat=18.255480933540923;lon=-70.26935741946407;year=2000;bf=40;level=18;"), "landsat_time_series")</f>
        <v>landsat_time_series</v>
      </c>
      <c r="I190" s="8" t="str">
        <f>HYPERLINK(CONCATENATE("https://jstnbraaten.users.earthengine.app/view/landsat-timeseries-explorer#run=true;lon=-70.26935741946407;lat=18.255480933540923;from=01-01;to=12-31;index=NBR;rgb=NIR%2FRED%2FGREEN;chipwidth=1;"), "landsat_chips")</f>
        <v>landsat_chips</v>
      </c>
      <c r="J190" s="8" t="str">
        <f>HYPERLINK(CONCATENATE("https://livingatlas.arcgis.com/wayback/#ext=-70.27035741946408,18.256480933540924,-70.26835741946407,18.254480933540922"), "wayback")</f>
        <v>wayback</v>
      </c>
      <c r="K190" s="2" t="s">
        <v>422</v>
      </c>
      <c r="L190" s="5"/>
      <c r="M190" s="5" t="s">
        <v>422</v>
      </c>
      <c r="N190" s="5"/>
    </row>
    <row r="191" spans="1:14" x14ac:dyDescent="0.35">
      <c r="A191" s="2">
        <v>190</v>
      </c>
      <c r="B191" s="2" t="s">
        <v>426</v>
      </c>
      <c r="C191" s="2" t="s">
        <v>622</v>
      </c>
      <c r="D191" s="2" t="s">
        <v>10</v>
      </c>
      <c r="E191" s="2">
        <v>285</v>
      </c>
      <c r="F191" s="2">
        <v>19.328255345955029</v>
      </c>
      <c r="G191" s="2">
        <v>-69.914826654966049</v>
      </c>
      <c r="H191" s="8" t="str">
        <f>HYPERLINK(CONCATENATE("https://faluhong.users.earthengine.app/view/hispaniola-lc-validation#id=PF190;lat=19.328255345955025;lon=-69.91482665496605;year=2000;bf=40;level=18;"), "landsat_time_series")</f>
        <v>landsat_time_series</v>
      </c>
      <c r="I191" s="8" t="str">
        <f>HYPERLINK(CONCATENATE("https://jstnbraaten.users.earthengine.app/view/landsat-timeseries-explorer#run=true;lon=-69.91482665496605;lat=19.328255345955025;from=01-01;to=12-31;index=NBR;rgb=NIR%2FRED%2FGREEN;chipwidth=1;"), "landsat_chips")</f>
        <v>landsat_chips</v>
      </c>
      <c r="J191" s="8" t="str">
        <f>HYPERLINK(CONCATENATE("https://livingatlas.arcgis.com/wayback/#ext=-69.91582665496605,19.329255345955026,-69.91382665496604,19.327255345955024"), "wayback")</f>
        <v>wayback</v>
      </c>
      <c r="K191" s="2" t="s">
        <v>422</v>
      </c>
      <c r="L191" s="5"/>
      <c r="M191" s="5" t="s">
        <v>422</v>
      </c>
      <c r="N191" s="5"/>
    </row>
    <row r="192" spans="1:14" x14ac:dyDescent="0.35">
      <c r="A192" s="2">
        <v>191</v>
      </c>
      <c r="B192" s="2" t="s">
        <v>427</v>
      </c>
      <c r="C192" s="2" t="s">
        <v>623</v>
      </c>
      <c r="D192" s="2" t="s">
        <v>20</v>
      </c>
      <c r="E192" s="2">
        <v>214</v>
      </c>
      <c r="F192" s="2">
        <v>19.109424205922899</v>
      </c>
      <c r="G192" s="2">
        <v>-71.928654777139016</v>
      </c>
      <c r="H192" s="8" t="str">
        <f>HYPERLINK(CONCATENATE("https://faluhong.users.earthengine.app/view/hispaniola-lc-validation#id=PF191;lat=19.1094242059229;lon=-71.92865477713902;year=2000;bf=40;level=18;"), "landsat_time_series")</f>
        <v>landsat_time_series</v>
      </c>
      <c r="I192" s="8" t="str">
        <f>HYPERLINK(CONCATENATE("https://jstnbraaten.users.earthengine.app/view/landsat-timeseries-explorer#run=true;lon=-71.92865477713902;lat=19.1094242059229;from=01-01;to=12-31;index=NBR;rgb=NIR%2FRED%2FGREEN;chipwidth=1;"), "landsat_chips")</f>
        <v>landsat_chips</v>
      </c>
      <c r="J192" s="8" t="str">
        <f>HYPERLINK(CONCATENATE("https://livingatlas.arcgis.com/wayback/#ext=-71.92965477713902,19.1104242059229,-71.92765477713901,19.108424205922898"), "wayback")</f>
        <v>wayback</v>
      </c>
      <c r="K192" s="2" t="s">
        <v>422</v>
      </c>
      <c r="L192" s="5"/>
      <c r="M192" s="5" t="s">
        <v>422</v>
      </c>
      <c r="N192" s="5"/>
    </row>
    <row r="193" spans="1:14" x14ac:dyDescent="0.35">
      <c r="A193" s="2">
        <v>192</v>
      </c>
      <c r="B193" s="2" t="s">
        <v>427</v>
      </c>
      <c r="C193" s="2" t="s">
        <v>624</v>
      </c>
      <c r="D193" s="2" t="s">
        <v>10</v>
      </c>
      <c r="E193" s="2">
        <v>13</v>
      </c>
      <c r="F193" s="2">
        <v>18.764036431565071</v>
      </c>
      <c r="G193" s="2">
        <v>-68.59348443417214</v>
      </c>
      <c r="H193" s="8" t="str">
        <f>HYPERLINK(CONCATENATE("https://faluhong.users.earthengine.app/view/hispaniola-lc-validation#id=PF192;lat=18.76403643156507;lon=-68.59348443417214;year=2000;bf=40;level=18;"), "landsat_time_series")</f>
        <v>landsat_time_series</v>
      </c>
      <c r="I193" s="8" t="str">
        <f>HYPERLINK(CONCATENATE("https://jstnbraaten.users.earthengine.app/view/landsat-timeseries-explorer#run=true;lon=-68.59348443417214;lat=18.76403643156507;from=01-01;to=12-31;index=NBR;rgb=NIR%2FRED%2FGREEN;chipwidth=1;"), "landsat_chips")</f>
        <v>landsat_chips</v>
      </c>
      <c r="J193" s="8" t="str">
        <f>HYPERLINK(CONCATENATE("https://livingatlas.arcgis.com/wayback/#ext=-68.59448443417214,18.765036431565072,-68.59248443417214,18.76303643156507"), "wayback")</f>
        <v>wayback</v>
      </c>
      <c r="K193" s="2" t="s">
        <v>422</v>
      </c>
      <c r="L193" s="5"/>
      <c r="M193" s="5" t="s">
        <v>422</v>
      </c>
      <c r="N193" s="5"/>
    </row>
    <row r="194" spans="1:14" x14ac:dyDescent="0.35">
      <c r="A194" s="2">
        <v>193</v>
      </c>
      <c r="B194" s="2" t="s">
        <v>427</v>
      </c>
      <c r="C194" s="2" t="s">
        <v>625</v>
      </c>
      <c r="D194" s="2" t="s">
        <v>10</v>
      </c>
      <c r="E194" s="2">
        <v>59</v>
      </c>
      <c r="F194" s="2">
        <v>18.854866033297931</v>
      </c>
      <c r="G194" s="2">
        <v>-68.723298986195672</v>
      </c>
      <c r="H194" s="8" t="str">
        <f>HYPERLINK(CONCATENATE("https://faluhong.users.earthengine.app/view/hispaniola-lc-validation#id=PF193;lat=18.854866033297935;lon=-68.72329898619567;year=2000;bf=40;level=18;"), "landsat_time_series")</f>
        <v>landsat_time_series</v>
      </c>
      <c r="I194" s="8" t="str">
        <f>HYPERLINK(CONCATENATE("https://jstnbraaten.users.earthengine.app/view/landsat-timeseries-explorer#run=true;lon=-68.72329898619567;lat=18.854866033297935;from=01-01;to=12-31;index=NBR;rgb=NIR%2FRED%2FGREEN;chipwidth=1;"), "landsat_chips")</f>
        <v>landsat_chips</v>
      </c>
      <c r="J194" s="8" t="str">
        <f>HYPERLINK(CONCATENATE("https://livingatlas.arcgis.com/wayback/#ext=-68.72429898619568,18.855866033297936,-68.72229898619567,18.853866033297933"), "wayback")</f>
        <v>wayback</v>
      </c>
      <c r="K194" s="2" t="s">
        <v>422</v>
      </c>
      <c r="L194" s="5"/>
      <c r="M194" s="5" t="s">
        <v>422</v>
      </c>
      <c r="N194" s="5"/>
    </row>
    <row r="195" spans="1:14" x14ac:dyDescent="0.35">
      <c r="A195" s="2">
        <v>194</v>
      </c>
      <c r="B195" s="2" t="s">
        <v>427</v>
      </c>
      <c r="C195" s="2" t="s">
        <v>626</v>
      </c>
      <c r="D195" s="2" t="s">
        <v>10</v>
      </c>
      <c r="E195" s="2">
        <v>80</v>
      </c>
      <c r="F195" s="2">
        <v>19.78215363113457</v>
      </c>
      <c r="G195" s="2">
        <v>-70.689399525839733</v>
      </c>
      <c r="H195" s="8" t="str">
        <f>HYPERLINK(CONCATENATE("https://faluhong.users.earthengine.app/view/hispaniola-lc-validation#id=PF194;lat=19.78215363113457;lon=-70.68939952583973;year=2000;bf=40;level=18;"), "landsat_time_series")</f>
        <v>landsat_time_series</v>
      </c>
      <c r="I195" s="8" t="str">
        <f>HYPERLINK(CONCATENATE("https://jstnbraaten.users.earthengine.app/view/landsat-timeseries-explorer#run=true;lon=-70.68939952583973;lat=19.78215363113457;from=01-01;to=12-31;index=NBR;rgb=NIR%2FRED%2FGREEN;chipwidth=1;"), "landsat_chips")</f>
        <v>landsat_chips</v>
      </c>
      <c r="J195" s="8" t="str">
        <f>HYPERLINK(CONCATENATE("https://livingatlas.arcgis.com/wayback/#ext=-70.69039952583974,19.78315363113457,-70.68839952583973,19.78115363113457"), "wayback")</f>
        <v>wayback</v>
      </c>
      <c r="K195" s="2" t="s">
        <v>422</v>
      </c>
      <c r="L195" s="5"/>
      <c r="M195" s="5" t="s">
        <v>422</v>
      </c>
      <c r="N195" s="5"/>
    </row>
    <row r="196" spans="1:14" x14ac:dyDescent="0.35">
      <c r="A196" s="2">
        <v>195</v>
      </c>
      <c r="B196" s="2" t="s">
        <v>427</v>
      </c>
      <c r="C196" s="2" t="s">
        <v>627</v>
      </c>
      <c r="D196" s="2" t="s">
        <v>10</v>
      </c>
      <c r="E196" s="2">
        <v>223</v>
      </c>
      <c r="F196" s="2">
        <v>19.814677752632509</v>
      </c>
      <c r="G196" s="2">
        <v>-71.373493215819963</v>
      </c>
      <c r="H196" s="8" t="str">
        <f>HYPERLINK(CONCATENATE("https://faluhong.users.earthengine.app/view/hispaniola-lc-validation#id=PF195;lat=19.81467775263251;lon=-71.37349321581996;year=2000;bf=40;level=18;"), "landsat_time_series")</f>
        <v>landsat_time_series</v>
      </c>
      <c r="I196" s="8" t="str">
        <f>HYPERLINK(CONCATENATE("https://jstnbraaten.users.earthengine.app/view/landsat-timeseries-explorer#run=true;lon=-71.37349321581996;lat=19.81467775263251;from=01-01;to=12-31;index=NBR;rgb=NIR%2FRED%2FGREEN;chipwidth=1;"), "landsat_chips")</f>
        <v>landsat_chips</v>
      </c>
      <c r="J196" s="8" t="str">
        <f>HYPERLINK(CONCATENATE("https://livingatlas.arcgis.com/wayback/#ext=-71.37449321581997,19.81567775263251,-71.37249321581996,19.813677752632508"), "wayback")</f>
        <v>wayback</v>
      </c>
      <c r="K196" s="2" t="s">
        <v>422</v>
      </c>
      <c r="L196" s="5"/>
      <c r="M196" s="5" t="s">
        <v>422</v>
      </c>
      <c r="N196" s="5"/>
    </row>
    <row r="197" spans="1:14" x14ac:dyDescent="0.35">
      <c r="A197" s="2">
        <v>196</v>
      </c>
      <c r="B197" s="2" t="s">
        <v>427</v>
      </c>
      <c r="C197" s="2" t="s">
        <v>628</v>
      </c>
      <c r="D197" s="2" t="s">
        <v>10</v>
      </c>
      <c r="E197" s="2">
        <v>21</v>
      </c>
      <c r="F197" s="2">
        <v>18.696469227566041</v>
      </c>
      <c r="G197" s="2">
        <v>-69.902371483695092</v>
      </c>
      <c r="H197" s="8" t="str">
        <f>HYPERLINK(CONCATENATE("https://faluhong.users.earthengine.app/view/hispaniola-lc-validation#id=PF196;lat=18.69646922756604;lon=-69.90237148369509;year=2000;bf=40;level=18;"), "landsat_time_series")</f>
        <v>landsat_time_series</v>
      </c>
      <c r="I197" s="8" t="str">
        <f>HYPERLINK(CONCATENATE("https://jstnbraaten.users.earthengine.app/view/landsat-timeseries-explorer#run=true;lon=-69.90237148369509;lat=18.69646922756604;from=01-01;to=12-31;index=NBR;rgb=NIR%2FRED%2FGREEN;chipwidth=1;"), "landsat_chips")</f>
        <v>landsat_chips</v>
      </c>
      <c r="J197" s="8" t="str">
        <f>HYPERLINK(CONCATENATE("https://livingatlas.arcgis.com/wayback/#ext=-69.9033714836951,18.697469227566042,-69.90137148369509,18.69546922756604"), "wayback")</f>
        <v>wayback</v>
      </c>
      <c r="K197" s="2" t="s">
        <v>422</v>
      </c>
      <c r="L197" s="5"/>
      <c r="M197" s="5" t="s">
        <v>422</v>
      </c>
      <c r="N197" s="5"/>
    </row>
    <row r="198" spans="1:14" x14ac:dyDescent="0.35">
      <c r="A198" s="2">
        <v>197</v>
      </c>
      <c r="B198" s="2" t="s">
        <v>427</v>
      </c>
      <c r="C198" s="2" t="s">
        <v>629</v>
      </c>
      <c r="D198" s="2" t="s">
        <v>10</v>
      </c>
      <c r="E198" s="2">
        <v>700</v>
      </c>
      <c r="F198" s="2">
        <v>18.89899708821342</v>
      </c>
      <c r="G198" s="2">
        <v>-71.122422856725848</v>
      </c>
      <c r="H198" s="8" t="str">
        <f>HYPERLINK(CONCATENATE("https://faluhong.users.earthengine.app/view/hispaniola-lc-validation#id=PF197;lat=18.898997088213424;lon=-71.12242285672585;year=2000;bf=40;level=18;"), "landsat_time_series")</f>
        <v>landsat_time_series</v>
      </c>
      <c r="I198" s="8" t="str">
        <f>HYPERLINK(CONCATENATE("https://jstnbraaten.users.earthengine.app/view/landsat-timeseries-explorer#run=true;lon=-71.12242285672585;lat=18.898997088213424;from=01-01;to=12-31;index=NBR;rgb=NIR%2FRED%2FGREEN;chipwidth=1;"), "landsat_chips")</f>
        <v>landsat_chips</v>
      </c>
      <c r="J198" s="8" t="str">
        <f>HYPERLINK(CONCATENATE("https://livingatlas.arcgis.com/wayback/#ext=-71.12342285672585,18.899997088213425,-71.12142285672584,18.897997088213423"), "wayback")</f>
        <v>wayback</v>
      </c>
      <c r="K198" s="2" t="s">
        <v>422</v>
      </c>
      <c r="L198" s="5"/>
      <c r="M198" s="5" t="s">
        <v>422</v>
      </c>
      <c r="N198" s="5"/>
    </row>
    <row r="199" spans="1:14" x14ac:dyDescent="0.35">
      <c r="A199" s="2">
        <v>198</v>
      </c>
      <c r="B199" s="2" t="s">
        <v>427</v>
      </c>
      <c r="C199" s="2" t="s">
        <v>630</v>
      </c>
      <c r="D199" s="2" t="s">
        <v>10</v>
      </c>
      <c r="E199" s="2">
        <v>98</v>
      </c>
      <c r="F199" s="2">
        <v>19.622932426074179</v>
      </c>
      <c r="G199" s="2">
        <v>-71.508326719509398</v>
      </c>
      <c r="H199" s="8" t="str">
        <f>HYPERLINK(CONCATENATE("https://faluhong.users.earthengine.app/view/hispaniola-lc-validation#id=PF198;lat=19.62293242607418;lon=-71.5083267195094;year=2000;bf=40;level=18;"), "landsat_time_series")</f>
        <v>landsat_time_series</v>
      </c>
      <c r="I199" s="8" t="str">
        <f>HYPERLINK(CONCATENATE("https://jstnbraaten.users.earthengine.app/view/landsat-timeseries-explorer#run=true;lon=-71.5083267195094;lat=19.62293242607418;from=01-01;to=12-31;index=NBR;rgb=NIR%2FRED%2FGREEN;chipwidth=1;"), "landsat_chips")</f>
        <v>landsat_chips</v>
      </c>
      <c r="J199" s="8" t="str">
        <f>HYPERLINK(CONCATENATE("https://livingatlas.arcgis.com/wayback/#ext=-71.5093267195094,19.62393242607418,-71.5073267195094,19.621932426074178"), "wayback")</f>
        <v>wayback</v>
      </c>
      <c r="K199" s="2" t="s">
        <v>422</v>
      </c>
      <c r="L199" s="5"/>
      <c r="M199" s="5" t="s">
        <v>422</v>
      </c>
      <c r="N199" s="5"/>
    </row>
    <row r="200" spans="1:14" x14ac:dyDescent="0.35">
      <c r="A200" s="2">
        <v>199</v>
      </c>
      <c r="B200" s="2" t="s">
        <v>427</v>
      </c>
      <c r="C200" s="2" t="s">
        <v>631</v>
      </c>
      <c r="D200" s="2" t="s">
        <v>20</v>
      </c>
      <c r="E200" s="2">
        <v>260</v>
      </c>
      <c r="F200" s="2">
        <v>18.244159321206858</v>
      </c>
      <c r="G200" s="2">
        <v>-73.043833462365271</v>
      </c>
      <c r="H200" s="8" t="str">
        <f>HYPERLINK(CONCATENATE("https://faluhong.users.earthengine.app/view/hispaniola-lc-validation#id=PF199;lat=18.24415932120686;lon=-73.04383346236527;year=2000;bf=40;level=18;"), "landsat_time_series")</f>
        <v>landsat_time_series</v>
      </c>
      <c r="I200" s="8" t="str">
        <f>HYPERLINK(CONCATENATE("https://jstnbraaten.users.earthengine.app/view/landsat-timeseries-explorer#run=true;lon=-73.04383346236527;lat=18.24415932120686;from=01-01;to=12-31;index=NBR;rgb=NIR%2FRED%2FGREEN;chipwidth=1;"), "landsat_chips")</f>
        <v>landsat_chips</v>
      </c>
      <c r="J200" s="8" t="str">
        <f>HYPERLINK(CONCATENATE("https://livingatlas.arcgis.com/wayback/#ext=-73.04483346236528,18.24515932120686,-73.04283346236527,18.243159321206857"), "wayback")</f>
        <v>wayback</v>
      </c>
      <c r="K200" s="2" t="s">
        <v>422</v>
      </c>
      <c r="L200" s="5"/>
      <c r="M200" s="5" t="s">
        <v>422</v>
      </c>
      <c r="N200" s="5"/>
    </row>
    <row r="201" spans="1:14" x14ac:dyDescent="0.35">
      <c r="A201" s="2">
        <v>200</v>
      </c>
      <c r="B201" s="2" t="s">
        <v>427</v>
      </c>
      <c r="C201" s="2" t="s">
        <v>632</v>
      </c>
      <c r="D201" s="2" t="s">
        <v>10</v>
      </c>
      <c r="E201" s="2">
        <v>1683</v>
      </c>
      <c r="F201" s="2">
        <v>18.932965753322499</v>
      </c>
      <c r="G201" s="2">
        <v>-70.549626909685017</v>
      </c>
      <c r="H201" s="8" t="str">
        <f>HYPERLINK(CONCATENATE("https://faluhong.users.earthengine.app/view/hispaniola-lc-validation#id=PF200;lat=18.932965753322502;lon=-70.54962690968502;year=2000;bf=40;level=18;"), "landsat_time_series")</f>
        <v>landsat_time_series</v>
      </c>
      <c r="I201" s="8" t="str">
        <f>HYPERLINK(CONCATENATE("https://jstnbraaten.users.earthengine.app/view/landsat-timeseries-explorer#run=true;lon=-70.54962690968502;lat=18.932965753322502;from=01-01;to=12-31;index=NBR;rgb=NIR%2FRED%2FGREEN;chipwidth=1;"), "landsat_chips")</f>
        <v>landsat_chips</v>
      </c>
      <c r="J201" s="8" t="str">
        <f>HYPERLINK(CONCATENATE("https://livingatlas.arcgis.com/wayback/#ext=-70.55062690968502,18.933965753322504,-70.54862690968501,18.9319657533225"), "wayback")</f>
        <v>wayback</v>
      </c>
      <c r="K201" s="2" t="s">
        <v>418</v>
      </c>
      <c r="L201" s="5"/>
      <c r="M201" s="5" t="s">
        <v>418</v>
      </c>
      <c r="N201" s="5" t="s">
        <v>421</v>
      </c>
    </row>
    <row r="202" spans="1:14" x14ac:dyDescent="0.35">
      <c r="A202" s="2">
        <v>201</v>
      </c>
      <c r="B202" s="2" t="s">
        <v>427</v>
      </c>
      <c r="C202" s="2" t="s">
        <v>633</v>
      </c>
      <c r="D202" s="2" t="s">
        <v>20</v>
      </c>
      <c r="E202" s="2">
        <v>588</v>
      </c>
      <c r="F202" s="2">
        <v>18.32900623948353</v>
      </c>
      <c r="G202" s="2">
        <v>-74.124006153368001</v>
      </c>
      <c r="H202" s="8" t="str">
        <f>HYPERLINK(CONCATENATE("https://faluhong.users.earthengine.app/view/hispaniola-lc-validation#id=PF201;lat=18.32900623948353;lon=-74.124006153368;year=2000;bf=40;level=18;"), "landsat_time_series")</f>
        <v>landsat_time_series</v>
      </c>
      <c r="I202" s="8" t="str">
        <f>HYPERLINK(CONCATENATE("https://jstnbraaten.users.earthengine.app/view/landsat-timeseries-explorer#run=true;lon=-74.124006153368;lat=18.32900623948353;from=01-01;to=12-31;index=NBR;rgb=NIR%2FRED%2FGREEN;chipwidth=1;"), "landsat_chips")</f>
        <v>landsat_chips</v>
      </c>
      <c r="J202" s="8" t="str">
        <f>HYPERLINK(CONCATENATE("https://livingatlas.arcgis.com/wayback/#ext=-74.125006153368,18.33000623948353,-74.123006153368,18.32800623948353"), "wayback")</f>
        <v>wayback</v>
      </c>
      <c r="K202" s="2" t="s">
        <v>422</v>
      </c>
      <c r="L202" s="5"/>
      <c r="M202" s="5" t="s">
        <v>422</v>
      </c>
      <c r="N202" s="5"/>
    </row>
    <row r="203" spans="1:14" x14ac:dyDescent="0.35">
      <c r="A203" s="2">
        <v>202</v>
      </c>
      <c r="B203" s="2" t="s">
        <v>427</v>
      </c>
      <c r="C203" s="2" t="s">
        <v>634</v>
      </c>
      <c r="D203" s="2" t="s">
        <v>10</v>
      </c>
      <c r="E203" s="2">
        <v>36</v>
      </c>
      <c r="F203" s="2">
        <v>18.309403490738049</v>
      </c>
      <c r="G203" s="2">
        <v>-71.396371873518746</v>
      </c>
      <c r="H203" s="8" t="str">
        <f>HYPERLINK(CONCATENATE("https://faluhong.users.earthengine.app/view/hispaniola-lc-validation#id=PF202;lat=18.30940349073805;lon=-71.39637187351875;year=2000;bf=40;level=18;"), "landsat_time_series")</f>
        <v>landsat_time_series</v>
      </c>
      <c r="I203" s="8" t="str">
        <f>HYPERLINK(CONCATENATE("https://jstnbraaten.users.earthengine.app/view/landsat-timeseries-explorer#run=true;lon=-71.39637187351875;lat=18.30940349073805;from=01-01;to=12-31;index=NBR;rgb=NIR%2FRED%2FGREEN;chipwidth=1;"), "landsat_chips")</f>
        <v>landsat_chips</v>
      </c>
      <c r="J203" s="8" t="str">
        <f>HYPERLINK(CONCATENATE("https://livingatlas.arcgis.com/wayback/#ext=-71.39737187351875,18.31040349073805,-71.39537187351874,18.308403490738048"), "wayback")</f>
        <v>wayback</v>
      </c>
      <c r="K203" s="2" t="s">
        <v>422</v>
      </c>
      <c r="L203" s="5"/>
      <c r="M203" s="5" t="s">
        <v>422</v>
      </c>
      <c r="N203" s="5"/>
    </row>
    <row r="204" spans="1:14" x14ac:dyDescent="0.35">
      <c r="A204" s="2">
        <v>203</v>
      </c>
      <c r="B204" s="2" t="s">
        <v>427</v>
      </c>
      <c r="C204" s="2" t="s">
        <v>635</v>
      </c>
      <c r="D204" s="2" t="s">
        <v>10</v>
      </c>
      <c r="E204" s="2">
        <v>2542</v>
      </c>
      <c r="F204" s="2">
        <v>19.026229746200919</v>
      </c>
      <c r="G204" s="2">
        <v>-70.981242102337788</v>
      </c>
      <c r="H204" s="8" t="str">
        <f>HYPERLINK(CONCATENATE("https://faluhong.users.earthengine.app/view/hispaniola-lc-validation#id=PF203;lat=19.026229746200922;lon=-70.98124210233779;year=2000;bf=40;level=18;"), "landsat_time_series")</f>
        <v>landsat_time_series</v>
      </c>
      <c r="I204" s="8" t="str">
        <f>HYPERLINK(CONCATENATE("https://jstnbraaten.users.earthengine.app/view/landsat-timeseries-explorer#run=true;lon=-70.98124210233779;lat=19.026229746200922;from=01-01;to=12-31;index=NBR;rgb=NIR%2FRED%2FGREEN;chipwidth=1;"), "landsat_chips")</f>
        <v>landsat_chips</v>
      </c>
      <c r="J204" s="8" t="str">
        <f>HYPERLINK(CONCATENATE("https://livingatlas.arcgis.com/wayback/#ext=-70.98224210233779,19.027229746200923,-70.98024210233778,19.02522974620092"), "wayback")</f>
        <v>wayback</v>
      </c>
      <c r="K204" s="2" t="s">
        <v>418</v>
      </c>
      <c r="L204" s="5"/>
      <c r="M204" s="5" t="s">
        <v>418</v>
      </c>
      <c r="N204" s="5" t="s">
        <v>419</v>
      </c>
    </row>
    <row r="205" spans="1:14" x14ac:dyDescent="0.35">
      <c r="A205" s="2">
        <v>204</v>
      </c>
      <c r="B205" s="2" t="s">
        <v>427</v>
      </c>
      <c r="C205" s="2" t="s">
        <v>636</v>
      </c>
      <c r="D205" s="2" t="s">
        <v>10</v>
      </c>
      <c r="E205" s="2">
        <v>78</v>
      </c>
      <c r="F205" s="2">
        <v>18.590753853792791</v>
      </c>
      <c r="G205" s="2">
        <v>-70.08993579836563</v>
      </c>
      <c r="H205" s="8" t="str">
        <f>HYPERLINK(CONCATENATE("https://faluhong.users.earthengine.app/view/hispaniola-lc-validation#id=PF204;lat=18.590753853792794;lon=-70.08993579836563;year=2000;bf=40;level=18;"), "landsat_time_series")</f>
        <v>landsat_time_series</v>
      </c>
      <c r="I205" s="8" t="str">
        <f>HYPERLINK(CONCATENATE("https://jstnbraaten.users.earthengine.app/view/landsat-timeseries-explorer#run=true;lon=-70.08993579836563;lat=18.590753853792794;from=01-01;to=12-31;index=NBR;rgb=NIR%2FRED%2FGREEN;chipwidth=1;"), "landsat_chips")</f>
        <v>landsat_chips</v>
      </c>
      <c r="J205" s="8" t="str">
        <f>HYPERLINK(CONCATENATE("https://livingatlas.arcgis.com/wayback/#ext=-70.09093579836563,18.591753853792795,-70.08893579836563,18.589753853792793"), "wayback")</f>
        <v>wayback</v>
      </c>
      <c r="K205" s="2" t="s">
        <v>422</v>
      </c>
      <c r="L205" s="5"/>
      <c r="M205" s="5" t="s">
        <v>422</v>
      </c>
      <c r="N205" s="5"/>
    </row>
    <row r="206" spans="1:14" x14ac:dyDescent="0.35">
      <c r="A206" s="2">
        <v>205</v>
      </c>
      <c r="B206" s="2" t="s">
        <v>427</v>
      </c>
      <c r="C206" s="2" t="s">
        <v>637</v>
      </c>
      <c r="D206" s="2" t="s">
        <v>10</v>
      </c>
      <c r="E206" s="2">
        <v>0</v>
      </c>
      <c r="F206" s="2">
        <v>18.49115691537024</v>
      </c>
      <c r="G206" s="2">
        <v>-71.516884366411318</v>
      </c>
      <c r="H206" s="8" t="str">
        <f>HYPERLINK(CONCATENATE("https://faluhong.users.earthengine.app/view/hispaniola-lc-validation#id=PF205;lat=18.49115691537024;lon=-71.51688436641132;year=2000;bf=40;level=18;"), "landsat_time_series")</f>
        <v>landsat_time_series</v>
      </c>
      <c r="I206" s="8" t="str">
        <f>HYPERLINK(CONCATENATE("https://jstnbraaten.users.earthengine.app/view/landsat-timeseries-explorer#run=true;lon=-71.51688436641132;lat=18.49115691537024;from=01-01;to=12-31;index=NBR;rgb=NIR%2FRED%2FGREEN;chipwidth=1;"), "landsat_chips")</f>
        <v>landsat_chips</v>
      </c>
      <c r="J206" s="8" t="str">
        <f>HYPERLINK(CONCATENATE("https://livingatlas.arcgis.com/wayback/#ext=-71.51788436641132,18.49215691537024,-71.51588436641131,18.49015691537024"), "wayback")</f>
        <v>wayback</v>
      </c>
      <c r="K206" s="2" t="s">
        <v>422</v>
      </c>
      <c r="L206" s="5"/>
      <c r="M206" s="5" t="s">
        <v>422</v>
      </c>
      <c r="N206" s="5"/>
    </row>
    <row r="207" spans="1:14" x14ac:dyDescent="0.35">
      <c r="A207" s="2">
        <v>206</v>
      </c>
      <c r="B207" s="2" t="s">
        <v>427</v>
      </c>
      <c r="C207" s="2" t="s">
        <v>638</v>
      </c>
      <c r="D207" s="2" t="s">
        <v>10</v>
      </c>
      <c r="E207" s="2">
        <v>1028</v>
      </c>
      <c r="F207" s="2">
        <v>18.64761102834926</v>
      </c>
      <c r="G207" s="2">
        <v>-71.907466349013163</v>
      </c>
      <c r="H207" s="8" t="str">
        <f>HYPERLINK(CONCATENATE("https://faluhong.users.earthengine.app/view/hispaniola-lc-validation#id=PF206;lat=18.64761102834926;lon=-71.90746634901316;year=2000;bf=40;level=18;"), "landsat_time_series")</f>
        <v>landsat_time_series</v>
      </c>
      <c r="I207" s="8" t="str">
        <f>HYPERLINK(CONCATENATE("https://jstnbraaten.users.earthengine.app/view/landsat-timeseries-explorer#run=true;lon=-71.90746634901316;lat=18.64761102834926;from=01-01;to=12-31;index=NBR;rgb=NIR%2FRED%2FGREEN;chipwidth=1;"), "landsat_chips")</f>
        <v>landsat_chips</v>
      </c>
      <c r="J207" s="8" t="str">
        <f>HYPERLINK(CONCATENATE("https://livingatlas.arcgis.com/wayback/#ext=-71.90846634901317,18.64861102834926,-71.90646634901316,18.64661102834926"), "wayback")</f>
        <v>wayback</v>
      </c>
      <c r="K207" s="2" t="s">
        <v>422</v>
      </c>
      <c r="L207" s="5"/>
      <c r="M207" s="5" t="s">
        <v>422</v>
      </c>
      <c r="N207" s="5"/>
    </row>
    <row r="208" spans="1:14" x14ac:dyDescent="0.35">
      <c r="A208" s="2">
        <v>207</v>
      </c>
      <c r="B208" s="2" t="s">
        <v>427</v>
      </c>
      <c r="C208" s="2" t="s">
        <v>639</v>
      </c>
      <c r="D208" s="2" t="s">
        <v>10</v>
      </c>
      <c r="E208" s="2">
        <v>1449</v>
      </c>
      <c r="F208" s="2">
        <v>18.968330078826639</v>
      </c>
      <c r="G208" s="2">
        <v>-71.213568614328196</v>
      </c>
      <c r="H208" s="8" t="str">
        <f>HYPERLINK(CONCATENATE("https://faluhong.users.earthengine.app/view/hispaniola-lc-validation#id=PF207;lat=18.968330078826636;lon=-71.2135686143282;year=2000;bf=40;level=18;"), "landsat_time_series")</f>
        <v>landsat_time_series</v>
      </c>
      <c r="I208" s="8" t="str">
        <f>HYPERLINK(CONCATENATE("https://jstnbraaten.users.earthengine.app/view/landsat-timeseries-explorer#run=true;lon=-71.2135686143282;lat=18.968330078826636;from=01-01;to=12-31;index=NBR;rgb=NIR%2FRED%2FGREEN;chipwidth=1;"), "landsat_chips")</f>
        <v>landsat_chips</v>
      </c>
      <c r="J208" s="8" t="str">
        <f>HYPERLINK(CONCATENATE("https://livingatlas.arcgis.com/wayback/#ext=-71.2145686143282,18.969330078826637,-71.21256861432819,18.967330078826635"), "wayback")</f>
        <v>wayback</v>
      </c>
      <c r="K208" s="2" t="s">
        <v>422</v>
      </c>
      <c r="L208" s="5"/>
      <c r="M208" s="5" t="s">
        <v>422</v>
      </c>
      <c r="N208" s="5"/>
    </row>
    <row r="209" spans="1:14" x14ac:dyDescent="0.35">
      <c r="A209" s="2">
        <v>208</v>
      </c>
      <c r="B209" s="2" t="s">
        <v>427</v>
      </c>
      <c r="C209" s="2" t="s">
        <v>640</v>
      </c>
      <c r="D209" s="2" t="s">
        <v>20</v>
      </c>
      <c r="E209" s="2">
        <v>46</v>
      </c>
      <c r="F209" s="2">
        <v>18.041178472784811</v>
      </c>
      <c r="G209" s="2">
        <v>-73.801504379944745</v>
      </c>
      <c r="H209" s="8" t="str">
        <f>HYPERLINK(CONCATENATE("https://faluhong.users.earthengine.app/view/hispaniola-lc-validation#id=PF208;lat=18.041178472784807;lon=-73.80150437994475;year=2000;bf=40;level=18;"), "landsat_time_series")</f>
        <v>landsat_time_series</v>
      </c>
      <c r="I209" s="8" t="str">
        <f>HYPERLINK(CONCATENATE("https://jstnbraaten.users.earthengine.app/view/landsat-timeseries-explorer#run=true;lon=-73.80150437994475;lat=18.041178472784807;from=01-01;to=12-31;index=NBR;rgb=NIR%2FRED%2FGREEN;chipwidth=1;"), "landsat_chips")</f>
        <v>landsat_chips</v>
      </c>
      <c r="J209" s="8" t="str">
        <f>HYPERLINK(CONCATENATE("https://livingatlas.arcgis.com/wayback/#ext=-73.80250437994475,18.04217847278481,-73.80050437994474,18.040178472784806"), "wayback")</f>
        <v>wayback</v>
      </c>
      <c r="K209" s="2" t="s">
        <v>422</v>
      </c>
      <c r="L209" s="5"/>
      <c r="M209" s="5" t="s">
        <v>422</v>
      </c>
      <c r="N209" s="5"/>
    </row>
    <row r="210" spans="1:14" x14ac:dyDescent="0.35">
      <c r="A210" s="2">
        <v>209</v>
      </c>
      <c r="B210" s="2" t="s">
        <v>427</v>
      </c>
      <c r="C210" s="2" t="s">
        <v>641</v>
      </c>
      <c r="D210" s="2" t="s">
        <v>10</v>
      </c>
      <c r="E210" s="2">
        <v>481</v>
      </c>
      <c r="F210" s="2">
        <v>18.831062741723649</v>
      </c>
      <c r="G210" s="2">
        <v>-71.156724176625303</v>
      </c>
      <c r="H210" s="8" t="str">
        <f>HYPERLINK(CONCATENATE("https://faluhong.users.earthengine.app/view/hispaniola-lc-validation#id=PF209;lat=18.831062741723652;lon=-71.1567241766253;year=2000;bf=40;level=18;"), "landsat_time_series")</f>
        <v>landsat_time_series</v>
      </c>
      <c r="I210" s="8" t="str">
        <f>HYPERLINK(CONCATENATE("https://jstnbraaten.users.earthengine.app/view/landsat-timeseries-explorer#run=true;lon=-71.1567241766253;lat=18.831062741723652;from=01-01;to=12-31;index=NBR;rgb=NIR%2FRED%2FGREEN;chipwidth=1;"), "landsat_chips")</f>
        <v>landsat_chips</v>
      </c>
      <c r="J210" s="8" t="str">
        <f>HYPERLINK(CONCATENATE("https://livingatlas.arcgis.com/wayback/#ext=-71.15772417662531,18.832062741723654,-71.1557241766253,18.83006274172365"), "wayback")</f>
        <v>wayback</v>
      </c>
      <c r="K210" s="2" t="s">
        <v>422</v>
      </c>
      <c r="L210" s="5"/>
      <c r="M210" s="5" t="s">
        <v>422</v>
      </c>
      <c r="N210" s="5"/>
    </row>
    <row r="211" spans="1:14" x14ac:dyDescent="0.35">
      <c r="A211" s="2">
        <v>210</v>
      </c>
      <c r="B211" s="2" t="s">
        <v>427</v>
      </c>
      <c r="C211" s="2" t="s">
        <v>642</v>
      </c>
      <c r="D211" s="2" t="s">
        <v>20</v>
      </c>
      <c r="E211" s="2">
        <v>360</v>
      </c>
      <c r="F211" s="2">
        <v>19.246791982722218</v>
      </c>
      <c r="G211" s="2">
        <v>-72.309546488148868</v>
      </c>
      <c r="H211" s="8" t="str">
        <f>HYPERLINK(CONCATENATE("https://faluhong.users.earthengine.app/view/hispaniola-lc-validation#id=PF210;lat=19.246791982722222;lon=-72.30954648814887;year=2000;bf=40;level=18;"), "landsat_time_series")</f>
        <v>landsat_time_series</v>
      </c>
      <c r="I211" s="8" t="str">
        <f>HYPERLINK(CONCATENATE("https://jstnbraaten.users.earthengine.app/view/landsat-timeseries-explorer#run=true;lon=-72.30954648814887;lat=19.246791982722222;from=01-01;to=12-31;index=NBR;rgb=NIR%2FRED%2FGREEN;chipwidth=1;"), "landsat_chips")</f>
        <v>landsat_chips</v>
      </c>
      <c r="J211" s="8" t="str">
        <f>HYPERLINK(CONCATENATE("https://livingatlas.arcgis.com/wayback/#ext=-72.31054648814887,19.247791982722223,-72.30854648814886,19.24579198272222"), "wayback")</f>
        <v>wayback</v>
      </c>
      <c r="K211" s="2" t="s">
        <v>422</v>
      </c>
      <c r="L211" s="5"/>
      <c r="M211" s="5" t="s">
        <v>422</v>
      </c>
      <c r="N211" s="5"/>
    </row>
    <row r="212" spans="1:14" x14ac:dyDescent="0.35">
      <c r="A212" s="2">
        <v>211</v>
      </c>
      <c r="B212" s="2" t="s">
        <v>427</v>
      </c>
      <c r="C212" s="2" t="s">
        <v>643</v>
      </c>
      <c r="D212" s="2" t="s">
        <v>10</v>
      </c>
      <c r="E212" s="2">
        <v>2173</v>
      </c>
      <c r="F212" s="2">
        <v>18.813488493927899</v>
      </c>
      <c r="G212" s="2">
        <v>-70.587676665717538</v>
      </c>
      <c r="H212" s="8" t="str">
        <f>HYPERLINK(CONCATENATE("https://faluhong.users.earthengine.app/view/hispaniola-lc-validation#id=PF211;lat=18.813488493927895;lon=-70.58767666571754;year=2000;bf=40;level=18;"), "landsat_time_series")</f>
        <v>landsat_time_series</v>
      </c>
      <c r="I212" s="8" t="str">
        <f>HYPERLINK(CONCATENATE("https://jstnbraaten.users.earthengine.app/view/landsat-timeseries-explorer#run=true;lon=-70.58767666571754;lat=18.813488493927895;from=01-01;to=12-31;index=NBR;rgb=NIR%2FRED%2FGREEN;chipwidth=1;"), "landsat_chips")</f>
        <v>landsat_chips</v>
      </c>
      <c r="J212" s="8" t="str">
        <f>HYPERLINK(CONCATENATE("https://livingatlas.arcgis.com/wayback/#ext=-70.58867666571754,18.814488493927897,-70.58667666571753,18.812488493927894"), "wayback")</f>
        <v>wayback</v>
      </c>
      <c r="K212" s="2" t="s">
        <v>422</v>
      </c>
      <c r="L212" s="5"/>
      <c r="M212" s="5" t="s">
        <v>422</v>
      </c>
      <c r="N212" s="5"/>
    </row>
    <row r="213" spans="1:14" x14ac:dyDescent="0.35">
      <c r="A213" s="2">
        <v>212</v>
      </c>
      <c r="B213" s="2" t="s">
        <v>427</v>
      </c>
      <c r="C213" s="2" t="s">
        <v>644</v>
      </c>
      <c r="D213" s="2" t="s">
        <v>10</v>
      </c>
      <c r="E213" s="2">
        <v>200</v>
      </c>
      <c r="F213" s="2">
        <v>19.82263907938091</v>
      </c>
      <c r="G213" s="2">
        <v>-71.384893377520413</v>
      </c>
      <c r="H213" s="8" t="str">
        <f>HYPERLINK(CONCATENATE("https://faluhong.users.earthengine.app/view/hispaniola-lc-validation#id=PF212;lat=19.82263907938091;lon=-71.38489337752041;year=2000;bf=40;level=18;"), "landsat_time_series")</f>
        <v>landsat_time_series</v>
      </c>
      <c r="I213" s="8" t="str">
        <f>HYPERLINK(CONCATENATE("https://jstnbraaten.users.earthengine.app/view/landsat-timeseries-explorer#run=true;lon=-71.38489337752041;lat=19.82263907938091;from=01-01;to=12-31;index=NBR;rgb=NIR%2FRED%2FGREEN;chipwidth=1;"), "landsat_chips")</f>
        <v>landsat_chips</v>
      </c>
      <c r="J213" s="8" t="str">
        <f>HYPERLINK(CONCATENATE("https://livingatlas.arcgis.com/wayback/#ext=-71.38589337752042,19.82363907938091,-71.38389337752041,19.82163907938091"), "wayback")</f>
        <v>wayback</v>
      </c>
      <c r="K213" s="2" t="s">
        <v>422</v>
      </c>
      <c r="L213" s="5"/>
      <c r="M213" s="5" t="s">
        <v>422</v>
      </c>
      <c r="N213" s="5"/>
    </row>
    <row r="214" spans="1:14" x14ac:dyDescent="0.35">
      <c r="A214" s="2">
        <v>213</v>
      </c>
      <c r="B214" s="2" t="s">
        <v>427</v>
      </c>
      <c r="C214" s="2" t="s">
        <v>645</v>
      </c>
      <c r="D214" s="2" t="s">
        <v>10</v>
      </c>
      <c r="E214" s="2">
        <v>326</v>
      </c>
      <c r="F214" s="2">
        <v>18.33159947837326</v>
      </c>
      <c r="G214" s="2">
        <v>-71.490737205035387</v>
      </c>
      <c r="H214" s="8" t="str">
        <f>HYPERLINK(CONCATENATE("https://faluhong.users.earthengine.app/view/hispaniola-lc-validation#id=PF213;lat=18.33159947837326;lon=-71.49073720503539;year=2000;bf=40;level=18;"), "landsat_time_series")</f>
        <v>landsat_time_series</v>
      </c>
      <c r="I214" s="8" t="str">
        <f>HYPERLINK(CONCATENATE("https://jstnbraaten.users.earthengine.app/view/landsat-timeseries-explorer#run=true;lon=-71.49073720503539;lat=18.33159947837326;from=01-01;to=12-31;index=NBR;rgb=NIR%2FRED%2FGREEN;chipwidth=1;"), "landsat_chips")</f>
        <v>landsat_chips</v>
      </c>
      <c r="J214" s="8" t="str">
        <f>HYPERLINK(CONCATENATE("https://livingatlas.arcgis.com/wayback/#ext=-71.49173720503539,18.33259947837326,-71.48973720503538,18.33059947837326"), "wayback")</f>
        <v>wayback</v>
      </c>
      <c r="K214" s="2" t="s">
        <v>422</v>
      </c>
      <c r="L214" s="5"/>
      <c r="M214" s="5" t="s">
        <v>422</v>
      </c>
      <c r="N214" s="5"/>
    </row>
    <row r="215" spans="1:14" x14ac:dyDescent="0.35">
      <c r="A215" s="2">
        <v>214</v>
      </c>
      <c r="B215" s="2" t="s">
        <v>427</v>
      </c>
      <c r="C215" s="2" t="s">
        <v>646</v>
      </c>
      <c r="D215" s="2" t="s">
        <v>20</v>
      </c>
      <c r="E215" s="2">
        <v>49</v>
      </c>
      <c r="F215" s="2">
        <v>18.61135312395194</v>
      </c>
      <c r="G215" s="2">
        <v>-73.711366817646621</v>
      </c>
      <c r="H215" s="8" t="str">
        <f>HYPERLINK(CONCATENATE("https://faluhong.users.earthengine.app/view/hispaniola-lc-validation#id=PF214;lat=18.61135312395194;lon=-73.71136681764662;year=2000;bf=40;level=18;"), "landsat_time_series")</f>
        <v>landsat_time_series</v>
      </c>
      <c r="I215" s="8" t="str">
        <f>HYPERLINK(CONCATENATE("https://jstnbraaten.users.earthengine.app/view/landsat-timeseries-explorer#run=true;lon=-73.71136681764662;lat=18.61135312395194;from=01-01;to=12-31;index=NBR;rgb=NIR%2FRED%2FGREEN;chipwidth=1;"), "landsat_chips")</f>
        <v>landsat_chips</v>
      </c>
      <c r="J215" s="8" t="str">
        <f>HYPERLINK(CONCATENATE("https://livingatlas.arcgis.com/wayback/#ext=-73.71236681764663,18.61235312395194,-73.71036681764662,18.61035312395194"), "wayback")</f>
        <v>wayback</v>
      </c>
      <c r="K215" s="2" t="s">
        <v>418</v>
      </c>
      <c r="L215" s="5"/>
      <c r="M215" s="5" t="s">
        <v>422</v>
      </c>
      <c r="N215" s="5"/>
    </row>
    <row r="216" spans="1:14" x14ac:dyDescent="0.35">
      <c r="A216" s="2">
        <v>215</v>
      </c>
      <c r="B216" s="2" t="s">
        <v>427</v>
      </c>
      <c r="C216" s="2" t="s">
        <v>647</v>
      </c>
      <c r="D216" s="2" t="s">
        <v>20</v>
      </c>
      <c r="E216" s="2">
        <v>994</v>
      </c>
      <c r="F216" s="2">
        <v>19.865014914901622</v>
      </c>
      <c r="G216" s="2">
        <v>-72.76087923843869</v>
      </c>
      <c r="H216" s="8" t="str">
        <f>HYPERLINK(CONCATENATE("https://faluhong.users.earthengine.app/view/hispaniola-lc-validation#id=PF215;lat=19.86501491490162;lon=-72.76087923843869;year=2000;bf=40;level=18;"), "landsat_time_series")</f>
        <v>landsat_time_series</v>
      </c>
      <c r="I216" s="8" t="str">
        <f>HYPERLINK(CONCATENATE("https://jstnbraaten.users.earthengine.app/view/landsat-timeseries-explorer#run=true;lon=-72.76087923843869;lat=19.86501491490162;from=01-01;to=12-31;index=NBR;rgb=NIR%2FRED%2FGREEN;chipwidth=1;"), "landsat_chips")</f>
        <v>landsat_chips</v>
      </c>
      <c r="J216" s="8" t="str">
        <f>HYPERLINK(CONCATENATE("https://livingatlas.arcgis.com/wayback/#ext=-72.7618792384387,19.866014914901623,-72.75987923843869,19.86401491490162"), "wayback")</f>
        <v>wayback</v>
      </c>
      <c r="K216" s="2" t="s">
        <v>422</v>
      </c>
      <c r="L216" s="5"/>
      <c r="M216" s="5" t="s">
        <v>422</v>
      </c>
      <c r="N216" s="5"/>
    </row>
    <row r="217" spans="1:14" x14ac:dyDescent="0.35">
      <c r="A217" s="2">
        <v>216</v>
      </c>
      <c r="B217" s="2" t="s">
        <v>427</v>
      </c>
      <c r="C217" s="2" t="s">
        <v>648</v>
      </c>
      <c r="D217" s="2" t="s">
        <v>10</v>
      </c>
      <c r="E217" s="2">
        <v>189</v>
      </c>
      <c r="F217" s="2">
        <v>17.764452599616352</v>
      </c>
      <c r="G217" s="2">
        <v>-71.462147068534662</v>
      </c>
      <c r="H217" s="8" t="str">
        <f>HYPERLINK(CONCATENATE("https://faluhong.users.earthengine.app/view/hispaniola-lc-validation#id=PF216;lat=17.764452599616348;lon=-71.46214706853466;year=2000;bf=40;level=18;"), "landsat_time_series")</f>
        <v>landsat_time_series</v>
      </c>
      <c r="I217" s="8" t="str">
        <f>HYPERLINK(CONCATENATE("https://jstnbraaten.users.earthengine.app/view/landsat-timeseries-explorer#run=true;lon=-71.46214706853466;lat=17.764452599616348;from=01-01;to=12-31;index=NBR;rgb=NIR%2FRED%2FGREEN;chipwidth=1;"), "landsat_chips")</f>
        <v>landsat_chips</v>
      </c>
      <c r="J217" s="8" t="str">
        <f>HYPERLINK(CONCATENATE("https://livingatlas.arcgis.com/wayback/#ext=-71.46314706853467,17.76545259961635,-71.46114706853466,17.763452599616347"), "wayback")</f>
        <v>wayback</v>
      </c>
      <c r="K217" s="2" t="s">
        <v>422</v>
      </c>
      <c r="L217" s="5"/>
      <c r="M217" s="5" t="s">
        <v>422</v>
      </c>
      <c r="N217" s="5"/>
    </row>
    <row r="218" spans="1:14" x14ac:dyDescent="0.35">
      <c r="A218" s="2">
        <v>217</v>
      </c>
      <c r="B218" s="2" t="s">
        <v>427</v>
      </c>
      <c r="C218" s="2" t="s">
        <v>649</v>
      </c>
      <c r="D218" s="2" t="s">
        <v>10</v>
      </c>
      <c r="E218" s="2">
        <v>208</v>
      </c>
      <c r="F218" s="2">
        <v>19.44871593122706</v>
      </c>
      <c r="G218" s="2">
        <v>-70.629097774942963</v>
      </c>
      <c r="H218" s="8" t="str">
        <f>HYPERLINK(CONCATENATE("https://faluhong.users.earthengine.app/view/hispaniola-lc-validation#id=PF217;lat=19.44871593122706;lon=-70.62909777494296;year=2000;bf=40;level=18;"), "landsat_time_series")</f>
        <v>landsat_time_series</v>
      </c>
      <c r="I218" s="8" t="str">
        <f>HYPERLINK(CONCATENATE("https://jstnbraaten.users.earthengine.app/view/landsat-timeseries-explorer#run=true;lon=-70.62909777494296;lat=19.44871593122706;from=01-01;to=12-31;index=NBR;rgb=NIR%2FRED%2FGREEN;chipwidth=1;"), "landsat_chips")</f>
        <v>landsat_chips</v>
      </c>
      <c r="J218" s="8" t="str">
        <f>HYPERLINK(CONCATENATE("https://livingatlas.arcgis.com/wayback/#ext=-70.63009777494297,19.44971593122706,-70.62809777494296,19.44771593122706"), "wayback")</f>
        <v>wayback</v>
      </c>
      <c r="K218" s="2" t="s">
        <v>422</v>
      </c>
      <c r="L218" s="5"/>
      <c r="M218" s="5" t="s">
        <v>422</v>
      </c>
      <c r="N218" s="5"/>
    </row>
    <row r="219" spans="1:14" x14ac:dyDescent="0.35">
      <c r="A219" s="2">
        <v>218</v>
      </c>
      <c r="B219" s="2" t="s">
        <v>427</v>
      </c>
      <c r="C219" s="2" t="s">
        <v>650</v>
      </c>
      <c r="D219" s="2" t="s">
        <v>20</v>
      </c>
      <c r="E219" s="2">
        <v>93</v>
      </c>
      <c r="F219" s="2">
        <v>19.015327745864301</v>
      </c>
      <c r="G219" s="2">
        <v>-72.359989576911914</v>
      </c>
      <c r="H219" s="8" t="str">
        <f>HYPERLINK(CONCATENATE("https://faluhong.users.earthengine.app/view/hispaniola-lc-validation#id=PF218;lat=19.015327745864298;lon=-72.35998957691191;year=2000;bf=40;level=18;"), "landsat_time_series")</f>
        <v>landsat_time_series</v>
      </c>
      <c r="I219" s="8" t="str">
        <f>HYPERLINK(CONCATENATE("https://jstnbraaten.users.earthengine.app/view/landsat-timeseries-explorer#run=true;lon=-72.35998957691191;lat=19.015327745864298;from=01-01;to=12-31;index=NBR;rgb=NIR%2FRED%2FGREEN;chipwidth=1;"), "landsat_chips")</f>
        <v>landsat_chips</v>
      </c>
      <c r="J219" s="8" t="str">
        <f>HYPERLINK(CONCATENATE("https://livingatlas.arcgis.com/wayback/#ext=-72.36098957691192,19.0163277458643,-72.35898957691191,19.014327745864296"), "wayback")</f>
        <v>wayback</v>
      </c>
      <c r="K219" s="2" t="s">
        <v>422</v>
      </c>
      <c r="L219" s="5"/>
      <c r="M219" s="5" t="s">
        <v>422</v>
      </c>
      <c r="N219" s="5"/>
    </row>
    <row r="220" spans="1:14" x14ac:dyDescent="0.35">
      <c r="A220" s="2">
        <v>219</v>
      </c>
      <c r="B220" s="2" t="s">
        <v>427</v>
      </c>
      <c r="C220" s="2" t="s">
        <v>651</v>
      </c>
      <c r="D220" s="2" t="s">
        <v>10</v>
      </c>
      <c r="E220" s="2">
        <v>4</v>
      </c>
      <c r="F220" s="2">
        <v>19.309252732382461</v>
      </c>
      <c r="G220" s="2">
        <v>-69.857570011855628</v>
      </c>
      <c r="H220" s="8" t="str">
        <f>HYPERLINK(CONCATENATE("https://faluhong.users.earthengine.app/view/hispaniola-lc-validation#id=PF219;lat=19.309252732382465;lon=-69.85757001185563;year=2000;bf=40;level=18;"), "landsat_time_series")</f>
        <v>landsat_time_series</v>
      </c>
      <c r="I220" s="8" t="str">
        <f>HYPERLINK(CONCATENATE("https://jstnbraaten.users.earthengine.app/view/landsat-timeseries-explorer#run=true;lon=-69.85757001185563;lat=19.309252732382465;from=01-01;to=12-31;index=NBR;rgb=NIR%2FRED%2FGREEN;chipwidth=1;"), "landsat_chips")</f>
        <v>landsat_chips</v>
      </c>
      <c r="J220" s="8" t="str">
        <f>HYPERLINK(CONCATENATE("https://livingatlas.arcgis.com/wayback/#ext=-69.85857001185563,19.310252732382466,-69.85657001185562,19.308252732382464"), "wayback")</f>
        <v>wayback</v>
      </c>
      <c r="K220" s="2" t="s">
        <v>422</v>
      </c>
      <c r="L220" s="5"/>
      <c r="M220" s="5" t="s">
        <v>422</v>
      </c>
      <c r="N220" s="5"/>
    </row>
    <row r="221" spans="1:14" x14ac:dyDescent="0.35">
      <c r="A221" s="2">
        <v>220</v>
      </c>
      <c r="B221" s="2" t="s">
        <v>427</v>
      </c>
      <c r="C221" s="2" t="s">
        <v>652</v>
      </c>
      <c r="D221" s="2" t="s">
        <v>10</v>
      </c>
      <c r="E221" s="2">
        <v>663</v>
      </c>
      <c r="F221" s="2">
        <v>19.125860525844171</v>
      </c>
      <c r="G221" s="2">
        <v>-70.697911062141998</v>
      </c>
      <c r="H221" s="8" t="str">
        <f>HYPERLINK(CONCATENATE("https://faluhong.users.earthengine.app/view/hispaniola-lc-validation#id=PF220;lat=19.125860525844175;lon=-70.697911062142;year=2000;bf=40;level=18;"), "landsat_time_series")</f>
        <v>landsat_time_series</v>
      </c>
      <c r="I221" s="8" t="str">
        <f>HYPERLINK(CONCATENATE("https://jstnbraaten.users.earthengine.app/view/landsat-timeseries-explorer#run=true;lon=-70.697911062142;lat=19.125860525844175;from=01-01;to=12-31;index=NBR;rgb=NIR%2FRED%2FGREEN;chipwidth=1;"), "landsat_chips")</f>
        <v>landsat_chips</v>
      </c>
      <c r="J221" s="8" t="str">
        <f>HYPERLINK(CONCATENATE("https://livingatlas.arcgis.com/wayback/#ext=-70.698911062142,19.126860525844176,-70.696911062142,19.124860525844174"), "wayback")</f>
        <v>wayback</v>
      </c>
      <c r="K221" s="2" t="s">
        <v>422</v>
      </c>
      <c r="L221" s="5"/>
      <c r="M221" s="5" t="s">
        <v>422</v>
      </c>
      <c r="N221" s="5"/>
    </row>
    <row r="222" spans="1:14" x14ac:dyDescent="0.35">
      <c r="A222" s="2">
        <v>221</v>
      </c>
      <c r="B222" s="2" t="s">
        <v>427</v>
      </c>
      <c r="C222" s="2" t="s">
        <v>653</v>
      </c>
      <c r="D222" s="2" t="s">
        <v>10</v>
      </c>
      <c r="E222" s="2">
        <v>1308</v>
      </c>
      <c r="F222" s="2">
        <v>18.91828638847111</v>
      </c>
      <c r="G222" s="2">
        <v>-71.092025488363731</v>
      </c>
      <c r="H222" s="8" t="str">
        <f>HYPERLINK(CONCATENATE("https://faluhong.users.earthengine.app/view/hispaniola-lc-validation#id=PF221;lat=18.918286388471113;lon=-71.09202548836373;year=2000;bf=40;level=18;"), "landsat_time_series")</f>
        <v>landsat_time_series</v>
      </c>
      <c r="I222" s="8" t="str">
        <f>HYPERLINK(CONCATENATE("https://jstnbraaten.users.earthengine.app/view/landsat-timeseries-explorer#run=true;lon=-71.09202548836373;lat=18.918286388471113;from=01-01;to=12-31;index=NBR;rgb=NIR%2FRED%2FGREEN;chipwidth=1;"), "landsat_chips")</f>
        <v>landsat_chips</v>
      </c>
      <c r="J222" s="8" t="str">
        <f>HYPERLINK(CONCATENATE("https://livingatlas.arcgis.com/wayback/#ext=-71.09302548836374,18.919286388471114,-71.09102548836373,18.917286388471112"), "wayback")</f>
        <v>wayback</v>
      </c>
      <c r="K222" s="2" t="s">
        <v>422</v>
      </c>
      <c r="L222" s="5"/>
      <c r="M222" s="5" t="s">
        <v>422</v>
      </c>
      <c r="N222" s="5"/>
    </row>
    <row r="223" spans="1:14" x14ac:dyDescent="0.35">
      <c r="A223" s="2">
        <v>222</v>
      </c>
      <c r="B223" s="2" t="s">
        <v>427</v>
      </c>
      <c r="C223" s="2" t="s">
        <v>654</v>
      </c>
      <c r="D223" s="2" t="s">
        <v>10</v>
      </c>
      <c r="E223" s="2">
        <v>68</v>
      </c>
      <c r="F223" s="2">
        <v>19.16315809400027</v>
      </c>
      <c r="G223" s="2">
        <v>-70.438669031197691</v>
      </c>
      <c r="H223" s="8" t="str">
        <f>HYPERLINK(CONCATENATE("https://faluhong.users.earthengine.app/view/hispaniola-lc-validation#id=PF222;lat=19.163158094000273;lon=-70.43866903119769;year=2000;bf=40;level=18;"), "landsat_time_series")</f>
        <v>landsat_time_series</v>
      </c>
      <c r="I223" s="8" t="str">
        <f>HYPERLINK(CONCATENATE("https://jstnbraaten.users.earthengine.app/view/landsat-timeseries-explorer#run=true;lon=-70.43866903119769;lat=19.163158094000273;from=01-01;to=12-31;index=NBR;rgb=NIR%2FRED%2FGREEN;chipwidth=1;"), "landsat_chips")</f>
        <v>landsat_chips</v>
      </c>
      <c r="J223" s="8" t="str">
        <f>HYPERLINK(CONCATENATE("https://livingatlas.arcgis.com/wayback/#ext=-70.4396690311977,19.164158094000275,-70.43766903119769,19.162158094000272"), "wayback")</f>
        <v>wayback</v>
      </c>
      <c r="K223" s="2" t="s">
        <v>422</v>
      </c>
      <c r="L223" s="5"/>
      <c r="M223" s="5" t="s">
        <v>422</v>
      </c>
      <c r="N223" s="5"/>
    </row>
    <row r="224" spans="1:14" x14ac:dyDescent="0.35">
      <c r="A224" s="2">
        <v>223</v>
      </c>
      <c r="B224" s="2" t="s">
        <v>427</v>
      </c>
      <c r="C224" s="2" t="s">
        <v>655</v>
      </c>
      <c r="D224" s="2" t="s">
        <v>10</v>
      </c>
      <c r="E224" s="2">
        <v>790</v>
      </c>
      <c r="F224" s="2">
        <v>18.733930262197781</v>
      </c>
      <c r="G224" s="2">
        <v>-71.298277494689813</v>
      </c>
      <c r="H224" s="8" t="str">
        <f>HYPERLINK(CONCATENATE("https://faluhong.users.earthengine.app/view/hispaniola-lc-validation#id=PF223;lat=18.73393026219778;lon=-71.29827749468981;year=2000;bf=40;level=18;"), "landsat_time_series")</f>
        <v>landsat_time_series</v>
      </c>
      <c r="I224" s="8" t="str">
        <f>HYPERLINK(CONCATENATE("https://jstnbraaten.users.earthengine.app/view/landsat-timeseries-explorer#run=true;lon=-71.29827749468981;lat=18.73393026219778;from=01-01;to=12-31;index=NBR;rgb=NIR%2FRED%2FGREEN;chipwidth=1;"), "landsat_chips")</f>
        <v>landsat_chips</v>
      </c>
      <c r="J224" s="8" t="str">
        <f>HYPERLINK(CONCATENATE("https://livingatlas.arcgis.com/wayback/#ext=-71.29927749468982,18.734930262197782,-71.29727749468981,18.73293026219778"), "wayback")</f>
        <v>wayback</v>
      </c>
      <c r="K224" s="2" t="s">
        <v>422</v>
      </c>
      <c r="L224" s="5"/>
      <c r="M224" s="5" t="s">
        <v>422</v>
      </c>
      <c r="N224" s="5"/>
    </row>
    <row r="225" spans="1:14" x14ac:dyDescent="0.35">
      <c r="A225" s="2">
        <v>224</v>
      </c>
      <c r="B225" s="2" t="s">
        <v>427</v>
      </c>
      <c r="C225" s="2" t="s">
        <v>656</v>
      </c>
      <c r="D225" s="2" t="s">
        <v>10</v>
      </c>
      <c r="E225" s="2">
        <v>19</v>
      </c>
      <c r="F225" s="2">
        <v>19.255886277944558</v>
      </c>
      <c r="G225" s="2">
        <v>-69.8938991834886</v>
      </c>
      <c r="H225" s="8" t="str">
        <f>HYPERLINK(CONCATENATE("https://faluhong.users.earthengine.app/view/hispaniola-lc-validation#id=PF224;lat=19.25588627794456;lon=-69.8938991834886;year=2000;bf=40;level=18;"), "landsat_time_series")</f>
        <v>landsat_time_series</v>
      </c>
      <c r="I225" s="8" t="str">
        <f>HYPERLINK(CONCATENATE("https://jstnbraaten.users.earthengine.app/view/landsat-timeseries-explorer#run=true;lon=-69.8938991834886;lat=19.25588627794456;from=01-01;to=12-31;index=NBR;rgb=NIR%2FRED%2FGREEN;chipwidth=1;"), "landsat_chips")</f>
        <v>landsat_chips</v>
      </c>
      <c r="J225" s="8" t="str">
        <f>HYPERLINK(CONCATENATE("https://livingatlas.arcgis.com/wayback/#ext=-69.8948991834886,19.25688627794456,-69.8928991834886,19.254886277944557"), "wayback")</f>
        <v>wayback</v>
      </c>
      <c r="K225" s="2" t="s">
        <v>422</v>
      </c>
      <c r="L225" s="5"/>
      <c r="M225" s="5" t="s">
        <v>422</v>
      </c>
      <c r="N225" s="5"/>
    </row>
    <row r="226" spans="1:14" x14ac:dyDescent="0.35">
      <c r="A226" s="2">
        <v>225</v>
      </c>
      <c r="B226" s="2" t="s">
        <v>427</v>
      </c>
      <c r="C226" s="2" t="s">
        <v>657</v>
      </c>
      <c r="D226" s="2" t="s">
        <v>10</v>
      </c>
      <c r="E226" s="2">
        <v>-42</v>
      </c>
      <c r="F226" s="2">
        <v>18.461915932685841</v>
      </c>
      <c r="G226" s="2">
        <v>-71.658499501858159</v>
      </c>
      <c r="H226" s="8" t="str">
        <f>HYPERLINK(CONCATENATE("https://faluhong.users.earthengine.app/view/hispaniola-lc-validation#id=PF225;lat=18.461915932685837;lon=-71.65849950185816;year=2000;bf=40;level=18;"), "landsat_time_series")</f>
        <v>landsat_time_series</v>
      </c>
      <c r="I226" s="8" t="str">
        <f>HYPERLINK(CONCATENATE("https://jstnbraaten.users.earthengine.app/view/landsat-timeseries-explorer#run=true;lon=-71.65849950185816;lat=18.461915932685837;from=01-01;to=12-31;index=NBR;rgb=NIR%2FRED%2FGREEN;chipwidth=1;"), "landsat_chips")</f>
        <v>landsat_chips</v>
      </c>
      <c r="J226" s="8" t="str">
        <f>HYPERLINK(CONCATENATE("https://livingatlas.arcgis.com/wayback/#ext=-71.65949950185816,18.46291593268584,-71.65749950185815,18.460915932685836"), "wayback")</f>
        <v>wayback</v>
      </c>
      <c r="K226" s="2" t="s">
        <v>422</v>
      </c>
      <c r="L226" s="5"/>
      <c r="M226" s="5" t="s">
        <v>422</v>
      </c>
      <c r="N226" s="5"/>
    </row>
    <row r="227" spans="1:14" x14ac:dyDescent="0.35">
      <c r="A227" s="2">
        <v>226</v>
      </c>
      <c r="B227" s="2" t="s">
        <v>427</v>
      </c>
      <c r="C227" s="2" t="s">
        <v>658</v>
      </c>
      <c r="D227" s="2" t="s">
        <v>10</v>
      </c>
      <c r="E227" s="2">
        <v>106</v>
      </c>
      <c r="F227" s="2">
        <v>18.64144014073289</v>
      </c>
      <c r="G227" s="2">
        <v>-68.841077036055836</v>
      </c>
      <c r="H227" s="8" t="str">
        <f>HYPERLINK(CONCATENATE("https://faluhong.users.earthengine.app/view/hispaniola-lc-validation#id=PF226;lat=18.64144014073289;lon=-68.84107703605584;year=2000;bf=40;level=18;"), "landsat_time_series")</f>
        <v>landsat_time_series</v>
      </c>
      <c r="I227" s="8" t="str">
        <f>HYPERLINK(CONCATENATE("https://jstnbraaten.users.earthengine.app/view/landsat-timeseries-explorer#run=true;lon=-68.84107703605584;lat=18.64144014073289;from=01-01;to=12-31;index=NBR;rgb=NIR%2FRED%2FGREEN;chipwidth=1;"), "landsat_chips")</f>
        <v>landsat_chips</v>
      </c>
      <c r="J227" s="8" t="str">
        <f>HYPERLINK(CONCATENATE("https://livingatlas.arcgis.com/wayback/#ext=-68.84207703605584,18.64244014073289,-68.84007703605583,18.64044014073289"), "wayback")</f>
        <v>wayback</v>
      </c>
      <c r="K227" s="2" t="s">
        <v>422</v>
      </c>
      <c r="L227" s="5"/>
      <c r="M227" s="5" t="s">
        <v>422</v>
      </c>
      <c r="N227" s="5"/>
    </row>
    <row r="228" spans="1:14" x14ac:dyDescent="0.35">
      <c r="A228" s="2">
        <v>227</v>
      </c>
      <c r="B228" s="2" t="s">
        <v>427</v>
      </c>
      <c r="C228" s="2" t="s">
        <v>659</v>
      </c>
      <c r="D228" s="2" t="s">
        <v>10</v>
      </c>
      <c r="E228" s="2">
        <v>296</v>
      </c>
      <c r="F228" s="2">
        <v>17.999008789558228</v>
      </c>
      <c r="G228" s="2">
        <v>-71.586264502880965</v>
      </c>
      <c r="H228" s="8" t="str">
        <f>HYPERLINK(CONCATENATE("https://faluhong.users.earthengine.app/view/hispaniola-lc-validation#id=PF227;lat=17.999008789558232;lon=-71.58626450288097;year=2000;bf=40;level=18;"), "landsat_time_series")</f>
        <v>landsat_time_series</v>
      </c>
      <c r="I228" s="8" t="str">
        <f>HYPERLINK(CONCATENATE("https://jstnbraaten.users.earthengine.app/view/landsat-timeseries-explorer#run=true;lon=-71.58626450288097;lat=17.999008789558232;from=01-01;to=12-31;index=NBR;rgb=NIR%2FRED%2FGREEN;chipwidth=1;"), "landsat_chips")</f>
        <v>landsat_chips</v>
      </c>
      <c r="J228" s="8" t="str">
        <f>HYPERLINK(CONCATENATE("https://livingatlas.arcgis.com/wayback/#ext=-71.58726450288097,18.000008789558233,-71.58526450288096,17.99800878955823"), "wayback")</f>
        <v>wayback</v>
      </c>
      <c r="K228" s="2" t="s">
        <v>422</v>
      </c>
      <c r="L228" s="5"/>
      <c r="M228" s="5" t="s">
        <v>422</v>
      </c>
      <c r="N228" s="5"/>
    </row>
    <row r="229" spans="1:14" x14ac:dyDescent="0.35">
      <c r="A229" s="2">
        <v>228</v>
      </c>
      <c r="B229" s="2" t="s">
        <v>427</v>
      </c>
      <c r="C229" s="2" t="s">
        <v>660</v>
      </c>
      <c r="D229" s="2" t="s">
        <v>20</v>
      </c>
      <c r="E229" s="2">
        <v>33</v>
      </c>
      <c r="F229" s="2">
        <v>19.234541229661101</v>
      </c>
      <c r="G229" s="2">
        <v>-72.483083515313368</v>
      </c>
      <c r="H229" s="8" t="str">
        <f>HYPERLINK(CONCATENATE("https://faluhong.users.earthengine.app/view/hispaniola-lc-validation#id=PF228;lat=19.234541229661104;lon=-72.48308351531337;year=2000;bf=40;level=18;"), "landsat_time_series")</f>
        <v>landsat_time_series</v>
      </c>
      <c r="I229" s="8" t="str">
        <f>HYPERLINK(CONCATENATE("https://jstnbraaten.users.earthengine.app/view/landsat-timeseries-explorer#run=true;lon=-72.48308351531337;lat=19.234541229661104;from=01-01;to=12-31;index=NBR;rgb=NIR%2FRED%2FGREEN;chipwidth=1;"), "landsat_chips")</f>
        <v>landsat_chips</v>
      </c>
      <c r="J229" s="8" t="str">
        <f>HYPERLINK(CONCATENATE("https://livingatlas.arcgis.com/wayback/#ext=-72.48408351531337,19.235541229661106,-72.48208351531336,19.233541229661103"), "wayback")</f>
        <v>wayback</v>
      </c>
      <c r="K229" s="2" t="s">
        <v>422</v>
      </c>
      <c r="L229" s="5"/>
      <c r="M229" s="5" t="s">
        <v>422</v>
      </c>
      <c r="N229" s="5"/>
    </row>
    <row r="230" spans="1:14" x14ac:dyDescent="0.35">
      <c r="A230" s="2">
        <v>229</v>
      </c>
      <c r="B230" s="2" t="s">
        <v>427</v>
      </c>
      <c r="C230" s="2" t="s">
        <v>661</v>
      </c>
      <c r="D230" s="2" t="s">
        <v>20</v>
      </c>
      <c r="E230" s="2">
        <v>74</v>
      </c>
      <c r="F230" s="2">
        <v>19.273165062145431</v>
      </c>
      <c r="G230" s="2">
        <v>-72.461236330852017</v>
      </c>
      <c r="H230" s="8" t="str">
        <f>HYPERLINK(CONCATENATE("https://faluhong.users.earthengine.app/view/hispaniola-lc-validation#id=PF229;lat=19.273165062145434;lon=-72.46123633085202;year=2000;bf=40;level=18;"), "landsat_time_series")</f>
        <v>landsat_time_series</v>
      </c>
      <c r="I230" s="8" t="str">
        <f>HYPERLINK(CONCATENATE("https://jstnbraaten.users.earthengine.app/view/landsat-timeseries-explorer#run=true;lon=-72.46123633085202;lat=19.273165062145434;from=01-01;to=12-31;index=NBR;rgb=NIR%2FRED%2FGREEN;chipwidth=1;"), "landsat_chips")</f>
        <v>landsat_chips</v>
      </c>
      <c r="J230" s="8" t="str">
        <f>HYPERLINK(CONCATENATE("https://livingatlas.arcgis.com/wayback/#ext=-72.46223633085202,19.274165062145435,-72.46023633085201,19.272165062145433"), "wayback")</f>
        <v>wayback</v>
      </c>
      <c r="K230" s="2" t="s">
        <v>422</v>
      </c>
      <c r="L230" s="5"/>
      <c r="M230" s="5" t="s">
        <v>422</v>
      </c>
      <c r="N230" s="5"/>
    </row>
    <row r="231" spans="1:14" x14ac:dyDescent="0.35">
      <c r="A231" s="2">
        <v>230</v>
      </c>
      <c r="B231" s="2" t="s">
        <v>427</v>
      </c>
      <c r="C231" s="2" t="s">
        <v>662</v>
      </c>
      <c r="D231" s="2" t="s">
        <v>10</v>
      </c>
      <c r="E231" s="2">
        <v>611</v>
      </c>
      <c r="F231" s="2">
        <v>19.283015335866558</v>
      </c>
      <c r="G231" s="2">
        <v>-70.885099436564971</v>
      </c>
      <c r="H231" s="8" t="str">
        <f>HYPERLINK(CONCATENATE("https://faluhong.users.earthengine.app/view/hispaniola-lc-validation#id=PF230;lat=19.283015335866562;lon=-70.88509943656497;year=2000;bf=40;level=18;"), "landsat_time_series")</f>
        <v>landsat_time_series</v>
      </c>
      <c r="I231" s="8" t="str">
        <f>HYPERLINK(CONCATENATE("https://jstnbraaten.users.earthengine.app/view/landsat-timeseries-explorer#run=true;lon=-70.88509943656497;lat=19.283015335866562;from=01-01;to=12-31;index=NBR;rgb=NIR%2FRED%2FGREEN;chipwidth=1;"), "landsat_chips")</f>
        <v>landsat_chips</v>
      </c>
      <c r="J231" s="8" t="str">
        <f>HYPERLINK(CONCATENATE("https://livingatlas.arcgis.com/wayback/#ext=-70.88609943656498,19.284015335866563,-70.88409943656497,19.28201533586656"), "wayback")</f>
        <v>wayback</v>
      </c>
      <c r="K231" s="2" t="s">
        <v>422</v>
      </c>
      <c r="L231" s="5"/>
      <c r="M231" s="5" t="s">
        <v>422</v>
      </c>
      <c r="N231" s="5"/>
    </row>
    <row r="232" spans="1:14" x14ac:dyDescent="0.35">
      <c r="A232" s="2">
        <v>231</v>
      </c>
      <c r="B232" s="2" t="s">
        <v>427</v>
      </c>
      <c r="C232" s="2" t="s">
        <v>663</v>
      </c>
      <c r="D232" s="2" t="s">
        <v>10</v>
      </c>
      <c r="E232" s="2">
        <v>261</v>
      </c>
      <c r="F232" s="2">
        <v>18.464960608620949</v>
      </c>
      <c r="G232" s="2">
        <v>-70.156271977324906</v>
      </c>
      <c r="H232" s="8" t="str">
        <f>HYPERLINK(CONCATENATE("https://faluhong.users.earthengine.app/view/hispaniola-lc-validation#id=PF231;lat=18.464960608620945;lon=-70.1562719773249;year=2000;bf=40;level=18;"), "landsat_time_series")</f>
        <v>landsat_time_series</v>
      </c>
      <c r="I232" s="8" t="str">
        <f>HYPERLINK(CONCATENATE("https://jstnbraaten.users.earthengine.app/view/landsat-timeseries-explorer#run=true;lon=-70.1562719773249;lat=18.464960608620945;from=01-01;to=12-31;index=NBR;rgb=NIR%2FRED%2FGREEN;chipwidth=1;"), "landsat_chips")</f>
        <v>landsat_chips</v>
      </c>
      <c r="J232" s="8" t="str">
        <f>HYPERLINK(CONCATENATE("https://livingatlas.arcgis.com/wayback/#ext=-70.15727197732491,18.465960608620946,-70.1552719773249,18.463960608620944"), "wayback")</f>
        <v>wayback</v>
      </c>
      <c r="K232" s="2" t="s">
        <v>422</v>
      </c>
      <c r="L232" s="5"/>
      <c r="M232" s="5" t="s">
        <v>422</v>
      </c>
      <c r="N232" s="5"/>
    </row>
    <row r="233" spans="1:14" x14ac:dyDescent="0.35">
      <c r="A233" s="2">
        <v>232</v>
      </c>
      <c r="B233" s="2" t="s">
        <v>427</v>
      </c>
      <c r="C233" s="2" t="s">
        <v>664</v>
      </c>
      <c r="D233" s="2" t="s">
        <v>10</v>
      </c>
      <c r="E233" s="2">
        <v>926</v>
      </c>
      <c r="F233" s="2">
        <v>18.738617838602611</v>
      </c>
      <c r="G233" s="2">
        <v>-70.475663803783277</v>
      </c>
      <c r="H233" s="8" t="str">
        <f>HYPERLINK(CONCATENATE("https://faluhong.users.earthengine.app/view/hispaniola-lc-validation#id=PF232;lat=18.73861783860261;lon=-70.47566380378328;year=2000;bf=40;level=18;"), "landsat_time_series")</f>
        <v>landsat_time_series</v>
      </c>
      <c r="I233" s="8" t="str">
        <f>HYPERLINK(CONCATENATE("https://jstnbraaten.users.earthengine.app/view/landsat-timeseries-explorer#run=true;lon=-70.47566380378328;lat=18.73861783860261;from=01-01;to=12-31;index=NBR;rgb=NIR%2FRED%2FGREEN;chipwidth=1;"), "landsat_chips")</f>
        <v>landsat_chips</v>
      </c>
      <c r="J233" s="8" t="str">
        <f>HYPERLINK(CONCATENATE("https://livingatlas.arcgis.com/wayback/#ext=-70.47666380378328,18.739617838602612,-70.47466380378327,18.73761783860261"), "wayback")</f>
        <v>wayback</v>
      </c>
      <c r="K233" s="2" t="s">
        <v>422</v>
      </c>
      <c r="L233" s="5"/>
      <c r="M233" s="5" t="s">
        <v>422</v>
      </c>
      <c r="N233" s="5"/>
    </row>
    <row r="234" spans="1:14" x14ac:dyDescent="0.35">
      <c r="A234" s="2">
        <v>233</v>
      </c>
      <c r="B234" s="2" t="s">
        <v>427</v>
      </c>
      <c r="C234" s="2" t="s">
        <v>665</v>
      </c>
      <c r="D234" s="2" t="s">
        <v>20</v>
      </c>
      <c r="E234" s="2">
        <v>41</v>
      </c>
      <c r="F234" s="2">
        <v>20.076847014515291</v>
      </c>
      <c r="G234" s="2">
        <v>-72.789117679429992</v>
      </c>
      <c r="H234" s="8" t="str">
        <f>HYPERLINK(CONCATENATE("https://faluhong.users.earthengine.app/view/hispaniola-lc-validation#id=PF233;lat=20.076847014515295;lon=-72.78911767942999;year=2000;bf=40;level=18;"), "landsat_time_series")</f>
        <v>landsat_time_series</v>
      </c>
      <c r="I234" s="8" t="str">
        <f>HYPERLINK(CONCATENATE("https://jstnbraaten.users.earthengine.app/view/landsat-timeseries-explorer#run=true;lon=-72.78911767942999;lat=20.076847014515295;from=01-01;to=12-31;index=NBR;rgb=NIR%2FRED%2FGREEN;chipwidth=1;"), "landsat_chips")</f>
        <v>landsat_chips</v>
      </c>
      <c r="J234" s="8" t="str">
        <f>HYPERLINK(CONCATENATE("https://livingatlas.arcgis.com/wayback/#ext=-72.79011767943,20.077847014515296,-72.78811767942999,20.075847014515293"), "wayback")</f>
        <v>wayback</v>
      </c>
      <c r="K234" s="2" t="s">
        <v>422</v>
      </c>
      <c r="L234" s="5"/>
      <c r="M234" s="5" t="s">
        <v>422</v>
      </c>
      <c r="N234" s="5"/>
    </row>
    <row r="235" spans="1:14" x14ac:dyDescent="0.35">
      <c r="A235" s="2">
        <v>234</v>
      </c>
      <c r="B235" s="2" t="s">
        <v>427</v>
      </c>
      <c r="C235" s="2" t="s">
        <v>666</v>
      </c>
      <c r="D235" s="2" t="s">
        <v>10</v>
      </c>
      <c r="E235" s="2">
        <v>547</v>
      </c>
      <c r="F235" s="2">
        <v>18.576901861973941</v>
      </c>
      <c r="G235" s="2">
        <v>-70.840841885036681</v>
      </c>
      <c r="H235" s="8" t="str">
        <f>HYPERLINK(CONCATENATE("https://faluhong.users.earthengine.app/view/hispaniola-lc-validation#id=PF234;lat=18.576901861973937;lon=-70.84084188503668;year=2000;bf=40;level=18;"), "landsat_time_series")</f>
        <v>landsat_time_series</v>
      </c>
      <c r="I235" s="8" t="str">
        <f>HYPERLINK(CONCATENATE("https://jstnbraaten.users.earthengine.app/view/landsat-timeseries-explorer#run=true;lon=-70.84084188503668;lat=18.576901861973937;from=01-01;to=12-31;index=NBR;rgb=NIR%2FRED%2FGREEN;chipwidth=1;"), "landsat_chips")</f>
        <v>landsat_chips</v>
      </c>
      <c r="J235" s="8" t="str">
        <f>HYPERLINK(CONCATENATE("https://livingatlas.arcgis.com/wayback/#ext=-70.84184188503669,18.57790186197394,-70.83984188503668,18.575901861973936"), "wayback")</f>
        <v>wayback</v>
      </c>
      <c r="K235" s="2" t="s">
        <v>422</v>
      </c>
      <c r="L235" s="5"/>
      <c r="M235" s="5" t="s">
        <v>422</v>
      </c>
      <c r="N235" s="5"/>
    </row>
    <row r="236" spans="1:14" x14ac:dyDescent="0.35">
      <c r="A236" s="2">
        <v>235</v>
      </c>
      <c r="B236" s="2" t="s">
        <v>427</v>
      </c>
      <c r="C236" s="2" t="s">
        <v>667</v>
      </c>
      <c r="D236" s="2" t="s">
        <v>10</v>
      </c>
      <c r="E236" s="2">
        <v>527</v>
      </c>
      <c r="F236" s="2">
        <v>18.265908894333069</v>
      </c>
      <c r="G236" s="2">
        <v>-71.4205434721801</v>
      </c>
      <c r="H236" s="8" t="str">
        <f>HYPERLINK(CONCATENATE("https://faluhong.users.earthengine.app/view/hispaniola-lc-validation#id=PF235;lat=18.265908894333073;lon=-71.4205434721801;year=2000;bf=40;level=18;"), "landsat_time_series")</f>
        <v>landsat_time_series</v>
      </c>
      <c r="I236" s="8" t="str">
        <f>HYPERLINK(CONCATENATE("https://jstnbraaten.users.earthengine.app/view/landsat-timeseries-explorer#run=true;lon=-71.4205434721801;lat=18.265908894333073;from=01-01;to=12-31;index=NBR;rgb=NIR%2FRED%2FGREEN;chipwidth=1;"), "landsat_chips")</f>
        <v>landsat_chips</v>
      </c>
      <c r="J236" s="8" t="str">
        <f>HYPERLINK(CONCATENATE("https://livingatlas.arcgis.com/wayback/#ext=-71.4215434721801,18.266908894333074,-71.4195434721801,18.26490889433307"), "wayback")</f>
        <v>wayback</v>
      </c>
      <c r="K236" s="2" t="s">
        <v>422</v>
      </c>
      <c r="L236" s="5"/>
      <c r="M236" s="5" t="s">
        <v>422</v>
      </c>
      <c r="N236" s="5"/>
    </row>
    <row r="237" spans="1:14" x14ac:dyDescent="0.35">
      <c r="A237" s="2">
        <v>236</v>
      </c>
      <c r="B237" s="2" t="s">
        <v>427</v>
      </c>
      <c r="C237" s="2" t="s">
        <v>668</v>
      </c>
      <c r="D237" s="2" t="s">
        <v>20</v>
      </c>
      <c r="E237" s="2">
        <v>16</v>
      </c>
      <c r="F237" s="2">
        <v>18.222879678318058</v>
      </c>
      <c r="G237" s="2">
        <v>-73.194530594034845</v>
      </c>
      <c r="H237" s="8" t="str">
        <f>HYPERLINK(CONCATENATE("https://faluhong.users.earthengine.app/view/hispaniola-lc-validation#id=PF236;lat=18.22287967831806;lon=-73.19453059403484;year=2000;bf=40;level=18;"), "landsat_time_series")</f>
        <v>landsat_time_series</v>
      </c>
      <c r="I237" s="8" t="str">
        <f>HYPERLINK(CONCATENATE("https://jstnbraaten.users.earthengine.app/view/landsat-timeseries-explorer#run=true;lon=-73.19453059403484;lat=18.22287967831806;from=01-01;to=12-31;index=NBR;rgb=NIR%2FRED%2FGREEN;chipwidth=1;"), "landsat_chips")</f>
        <v>landsat_chips</v>
      </c>
      <c r="J237" s="8" t="str">
        <f>HYPERLINK(CONCATENATE("https://livingatlas.arcgis.com/wayback/#ext=-73.19553059403485,18.22387967831806,-73.19353059403484,18.221879678318057"), "wayback")</f>
        <v>wayback</v>
      </c>
      <c r="K237" s="2" t="s">
        <v>422</v>
      </c>
      <c r="L237" s="5"/>
      <c r="M237" s="5" t="s">
        <v>422</v>
      </c>
      <c r="N237" s="5"/>
    </row>
    <row r="238" spans="1:14" x14ac:dyDescent="0.35">
      <c r="A238" s="2">
        <v>237</v>
      </c>
      <c r="B238" s="2" t="s">
        <v>427</v>
      </c>
      <c r="C238" s="2" t="s">
        <v>669</v>
      </c>
      <c r="D238" s="2" t="s">
        <v>10</v>
      </c>
      <c r="E238" s="2">
        <v>19</v>
      </c>
      <c r="F238" s="2">
        <v>18.421642204575981</v>
      </c>
      <c r="G238" s="2">
        <v>-69.640533607502448</v>
      </c>
      <c r="H238" s="8" t="str">
        <f>HYPERLINK(CONCATENATE("https://faluhong.users.earthengine.app/view/hispaniola-lc-validation#id=PF237;lat=18.421642204575978;lon=-69.64053360750245;year=2000;bf=40;level=18;"), "landsat_time_series")</f>
        <v>landsat_time_series</v>
      </c>
      <c r="I238" s="8" t="str">
        <f>HYPERLINK(CONCATENATE("https://jstnbraaten.users.earthengine.app/view/landsat-timeseries-explorer#run=true;lon=-69.64053360750245;lat=18.421642204575978;from=01-01;to=12-31;index=NBR;rgb=NIR%2FRED%2FGREEN;chipwidth=1;"), "landsat_chips")</f>
        <v>landsat_chips</v>
      </c>
      <c r="J238" s="8" t="str">
        <f>HYPERLINK(CONCATENATE("https://livingatlas.arcgis.com/wayback/#ext=-69.64153360750245,18.42264220457598,-69.63953360750244,18.420642204575977"), "wayback")</f>
        <v>wayback</v>
      </c>
      <c r="K238" s="2" t="s">
        <v>418</v>
      </c>
      <c r="L238" s="5"/>
      <c r="M238" s="5" t="s">
        <v>418</v>
      </c>
      <c r="N238" s="5" t="s">
        <v>922</v>
      </c>
    </row>
    <row r="239" spans="1:14" x14ac:dyDescent="0.35">
      <c r="A239" s="2">
        <v>238</v>
      </c>
      <c r="B239" s="2" t="s">
        <v>427</v>
      </c>
      <c r="C239" s="2" t="s">
        <v>670</v>
      </c>
      <c r="D239" s="2" t="s">
        <v>20</v>
      </c>
      <c r="E239" s="2">
        <v>23</v>
      </c>
      <c r="F239" s="2">
        <v>18.63010477286236</v>
      </c>
      <c r="G239" s="2">
        <v>-72.284946551403024</v>
      </c>
      <c r="H239" s="8" t="str">
        <f>HYPERLINK(CONCATENATE("https://faluhong.users.earthengine.app/view/hispaniola-lc-validation#id=PF238;lat=18.630104772862364;lon=-72.28494655140302;year=2000;bf=40;level=18;"), "landsat_time_series")</f>
        <v>landsat_time_series</v>
      </c>
      <c r="I239" s="8" t="str">
        <f>HYPERLINK(CONCATENATE("https://jstnbraaten.users.earthengine.app/view/landsat-timeseries-explorer#run=true;lon=-72.28494655140302;lat=18.630104772862364;from=01-01;to=12-31;index=NBR;rgb=NIR%2FRED%2FGREEN;chipwidth=1;"), "landsat_chips")</f>
        <v>landsat_chips</v>
      </c>
      <c r="J239" s="8" t="str">
        <f>HYPERLINK(CONCATENATE("https://livingatlas.arcgis.com/wayback/#ext=-72.28594655140303,18.631104772862365,-72.28394655140302,18.629104772862362"), "wayback")</f>
        <v>wayback</v>
      </c>
      <c r="K239" s="2" t="s">
        <v>422</v>
      </c>
      <c r="L239" s="5"/>
      <c r="M239" s="5" t="s">
        <v>422</v>
      </c>
      <c r="N239" s="5"/>
    </row>
    <row r="240" spans="1:14" x14ac:dyDescent="0.35">
      <c r="A240" s="2">
        <v>239</v>
      </c>
      <c r="B240" s="2" t="s">
        <v>427</v>
      </c>
      <c r="C240" s="2" t="s">
        <v>671</v>
      </c>
      <c r="D240" s="2" t="s">
        <v>10</v>
      </c>
      <c r="E240" s="2">
        <v>21</v>
      </c>
      <c r="F240" s="2">
        <v>19.191189708866951</v>
      </c>
      <c r="G240" s="2">
        <v>-69.862272163831264</v>
      </c>
      <c r="H240" s="8" t="str">
        <f>HYPERLINK(CONCATENATE("https://faluhong.users.earthengine.app/view/hispaniola-lc-validation#id=PF239;lat=19.19118970886695;lon=-69.86227216383126;year=2000;bf=40;level=18;"), "landsat_time_series")</f>
        <v>landsat_time_series</v>
      </c>
      <c r="I240" s="8" t="str">
        <f>HYPERLINK(CONCATENATE("https://jstnbraaten.users.earthengine.app/view/landsat-timeseries-explorer#run=true;lon=-69.86227216383126;lat=19.19118970886695;from=01-01;to=12-31;index=NBR;rgb=NIR%2FRED%2FGREEN;chipwidth=1;"), "landsat_chips")</f>
        <v>landsat_chips</v>
      </c>
      <c r="J240" s="8" t="str">
        <f>HYPERLINK(CONCATENATE("https://livingatlas.arcgis.com/wayback/#ext=-69.86327216383127,19.19218970886695,-69.86127216383126,19.19018970886695"), "wayback")</f>
        <v>wayback</v>
      </c>
      <c r="K240" s="2" t="s">
        <v>422</v>
      </c>
      <c r="L240" s="5"/>
      <c r="M240" s="5" t="s">
        <v>422</v>
      </c>
      <c r="N240" s="5"/>
    </row>
    <row r="241" spans="1:14" x14ac:dyDescent="0.35">
      <c r="A241" s="2">
        <v>240</v>
      </c>
      <c r="B241" s="2" t="s">
        <v>427</v>
      </c>
      <c r="C241" s="2" t="s">
        <v>672</v>
      </c>
      <c r="D241" s="2" t="s">
        <v>10</v>
      </c>
      <c r="E241" s="2">
        <v>263</v>
      </c>
      <c r="F241" s="2">
        <v>17.885526614121879</v>
      </c>
      <c r="G241" s="2">
        <v>-71.595620434919283</v>
      </c>
      <c r="H241" s="8" t="str">
        <f>HYPERLINK(CONCATENATE("https://faluhong.users.earthengine.app/view/hispaniola-lc-validation#id=PF240;lat=17.88552661412188;lon=-71.59562043491928;year=2000;bf=40;level=18;"), "landsat_time_series")</f>
        <v>landsat_time_series</v>
      </c>
      <c r="I241" s="8" t="str">
        <f>HYPERLINK(CONCATENATE("https://jstnbraaten.users.earthengine.app/view/landsat-timeseries-explorer#run=true;lon=-71.59562043491928;lat=17.88552661412188;from=01-01;to=12-31;index=NBR;rgb=NIR%2FRED%2FGREEN;chipwidth=1;"), "landsat_chips")</f>
        <v>landsat_chips</v>
      </c>
      <c r="J241" s="8" t="str">
        <f>HYPERLINK(CONCATENATE("https://livingatlas.arcgis.com/wayback/#ext=-71.59662043491929,17.88652661412188,-71.59462043491928,17.884526614121878"), "wayback")</f>
        <v>wayback</v>
      </c>
      <c r="K241" s="2" t="s">
        <v>422</v>
      </c>
      <c r="L241" s="5"/>
      <c r="M241" s="5" t="s">
        <v>422</v>
      </c>
      <c r="N241" s="5"/>
    </row>
    <row r="242" spans="1:14" x14ac:dyDescent="0.35">
      <c r="A242" s="2">
        <v>241</v>
      </c>
      <c r="B242" s="2" t="s">
        <v>427</v>
      </c>
      <c r="C242" s="2" t="s">
        <v>673</v>
      </c>
      <c r="D242" s="2" t="s">
        <v>10</v>
      </c>
      <c r="E242" s="2">
        <v>1500</v>
      </c>
      <c r="F242" s="2">
        <v>18.969851941414671</v>
      </c>
      <c r="G242" s="2">
        <v>-71.05112097774041</v>
      </c>
      <c r="H242" s="8" t="str">
        <f>HYPERLINK(CONCATENATE("https://faluhong.users.earthengine.app/view/hispaniola-lc-validation#id=PF241;lat=18.96985194141467;lon=-71.05112097774041;year=2000;bf=40;level=18;"), "landsat_time_series")</f>
        <v>landsat_time_series</v>
      </c>
      <c r="I242" s="8" t="str">
        <f>HYPERLINK(CONCATENATE("https://jstnbraaten.users.earthengine.app/view/landsat-timeseries-explorer#run=true;lon=-71.05112097774041;lat=18.96985194141467;from=01-01;to=12-31;index=NBR;rgb=NIR%2FRED%2FGREEN;chipwidth=1;"), "landsat_chips")</f>
        <v>landsat_chips</v>
      </c>
      <c r="J242" s="8" t="str">
        <f>HYPERLINK(CONCATENATE("https://livingatlas.arcgis.com/wayback/#ext=-71.05212097774042,18.970851941414672,-71.0501209777404,18.96885194141467"), "wayback")</f>
        <v>wayback</v>
      </c>
      <c r="K242" s="2" t="s">
        <v>418</v>
      </c>
      <c r="L242" s="5"/>
      <c r="M242" s="5" t="s">
        <v>418</v>
      </c>
      <c r="N242" s="5" t="s">
        <v>419</v>
      </c>
    </row>
    <row r="243" spans="1:14" x14ac:dyDescent="0.35">
      <c r="A243" s="2">
        <v>242</v>
      </c>
      <c r="B243" s="2" t="s">
        <v>427</v>
      </c>
      <c r="C243" s="2" t="s">
        <v>674</v>
      </c>
      <c r="D243" s="2" t="s">
        <v>10</v>
      </c>
      <c r="E243" s="2">
        <v>269</v>
      </c>
      <c r="F243" s="2">
        <v>18.479978988661411</v>
      </c>
      <c r="G243" s="2">
        <v>-71.136849414003521</v>
      </c>
      <c r="H243" s="8" t="str">
        <f>HYPERLINK(CONCATENATE("https://faluhong.users.earthengine.app/view/hispaniola-lc-validation#id=PF242;lat=18.47997898866141;lon=-71.13684941400352;year=2000;bf=40;level=18;"), "landsat_time_series")</f>
        <v>landsat_time_series</v>
      </c>
      <c r="I243" s="8" t="str">
        <f>HYPERLINK(CONCATENATE("https://jstnbraaten.users.earthengine.app/view/landsat-timeseries-explorer#run=true;lon=-71.13684941400352;lat=18.47997898866141;from=01-01;to=12-31;index=NBR;rgb=NIR%2FRED%2FGREEN;chipwidth=1;"), "landsat_chips")</f>
        <v>landsat_chips</v>
      </c>
      <c r="J243" s="8" t="str">
        <f>HYPERLINK(CONCATENATE("https://livingatlas.arcgis.com/wayback/#ext=-71.13784941400353,18.480978988661413,-71.13584941400352,18.47897898866141"), "wayback")</f>
        <v>wayback</v>
      </c>
      <c r="K243" s="2" t="s">
        <v>422</v>
      </c>
      <c r="L243" s="5"/>
      <c r="M243" s="5" t="s">
        <v>422</v>
      </c>
      <c r="N243" s="5"/>
    </row>
    <row r="244" spans="1:14" x14ac:dyDescent="0.35">
      <c r="A244" s="2">
        <v>243</v>
      </c>
      <c r="B244" s="2" t="s">
        <v>427</v>
      </c>
      <c r="C244" s="2" t="s">
        <v>675</v>
      </c>
      <c r="D244" s="2" t="s">
        <v>10</v>
      </c>
      <c r="E244" s="2">
        <v>1649</v>
      </c>
      <c r="F244" s="2">
        <v>19.034271777947449</v>
      </c>
      <c r="G244" s="2">
        <v>-71.238185279299572</v>
      </c>
      <c r="H244" s="8" t="str">
        <f>HYPERLINK(CONCATENATE("https://faluhong.users.earthengine.app/view/hispaniola-lc-validation#id=PF243;lat=19.034271777947446;lon=-71.23818527929957;year=2000;bf=40;level=18;"), "landsat_time_series")</f>
        <v>landsat_time_series</v>
      </c>
      <c r="I244" s="8" t="str">
        <f>HYPERLINK(CONCATENATE("https://jstnbraaten.users.earthengine.app/view/landsat-timeseries-explorer#run=true;lon=-71.23818527929957;lat=19.034271777947446;from=01-01;to=12-31;index=NBR;rgb=NIR%2FRED%2FGREEN;chipwidth=1;"), "landsat_chips")</f>
        <v>landsat_chips</v>
      </c>
      <c r="J244" s="8" t="str">
        <f>HYPERLINK(CONCATENATE("https://livingatlas.arcgis.com/wayback/#ext=-71.23918527929958,19.035271777947447,-71.23718527929957,19.033271777947444"), "wayback")</f>
        <v>wayback</v>
      </c>
      <c r="K244" s="2" t="s">
        <v>418</v>
      </c>
      <c r="L244" s="5"/>
      <c r="M244" s="5" t="s">
        <v>422</v>
      </c>
      <c r="N244" s="5"/>
    </row>
    <row r="245" spans="1:14" x14ac:dyDescent="0.35">
      <c r="A245" s="2">
        <v>244</v>
      </c>
      <c r="B245" s="2" t="s">
        <v>427</v>
      </c>
      <c r="C245" s="2" t="s">
        <v>676</v>
      </c>
      <c r="D245" s="2" t="s">
        <v>20</v>
      </c>
      <c r="E245" s="2">
        <v>499</v>
      </c>
      <c r="F245" s="2">
        <v>19.22860546699647</v>
      </c>
      <c r="G245" s="2">
        <v>-71.675117998158981</v>
      </c>
      <c r="H245" s="8" t="str">
        <f>HYPERLINK(CONCATENATE("https://faluhong.users.earthengine.app/view/hispaniola-lc-validation#id=PF244;lat=19.22860546699647;lon=-71.67511799815898;year=2000;bf=40;level=18;"), "landsat_time_series")</f>
        <v>landsat_time_series</v>
      </c>
      <c r="I245" s="8" t="str">
        <f>HYPERLINK(CONCATENATE("https://jstnbraaten.users.earthengine.app/view/landsat-timeseries-explorer#run=true;lon=-71.67511799815898;lat=19.22860546699647;from=01-01;to=12-31;index=NBR;rgb=NIR%2FRED%2FGREEN;chipwidth=1;"), "landsat_chips")</f>
        <v>landsat_chips</v>
      </c>
      <c r="J245" s="8" t="str">
        <f>HYPERLINK(CONCATENATE("https://livingatlas.arcgis.com/wayback/#ext=-71.67611799815899,19.22960546699647,-71.67411799815898,19.22760546699647"), "wayback")</f>
        <v>wayback</v>
      </c>
      <c r="K245" s="2" t="s">
        <v>422</v>
      </c>
      <c r="L245" s="5"/>
      <c r="M245" s="5" t="s">
        <v>422</v>
      </c>
      <c r="N245" s="5"/>
    </row>
    <row r="246" spans="1:14" x14ac:dyDescent="0.35">
      <c r="A246" s="2">
        <v>245</v>
      </c>
      <c r="B246" s="2" t="s">
        <v>427</v>
      </c>
      <c r="C246" s="2" t="s">
        <v>677</v>
      </c>
      <c r="D246" s="2" t="s">
        <v>10</v>
      </c>
      <c r="E246" s="2">
        <v>1948</v>
      </c>
      <c r="F246" s="2">
        <v>18.72902501152582</v>
      </c>
      <c r="G246" s="2">
        <v>-70.683395054236655</v>
      </c>
      <c r="H246" s="8" t="str">
        <f>HYPERLINK(CONCATENATE("https://faluhong.users.earthengine.app/view/hispaniola-lc-validation#id=PF245;lat=18.729025011525824;lon=-70.68339505423666;year=2000;bf=40;level=18;"), "landsat_time_series")</f>
        <v>landsat_time_series</v>
      </c>
      <c r="I246" s="8" t="str">
        <f>HYPERLINK(CONCATENATE("https://jstnbraaten.users.earthengine.app/view/landsat-timeseries-explorer#run=true;lon=-70.68339505423666;lat=18.729025011525824;from=01-01;to=12-31;index=NBR;rgb=NIR%2FRED%2FGREEN;chipwidth=1;"), "landsat_chips")</f>
        <v>landsat_chips</v>
      </c>
      <c r="J246" s="8" t="str">
        <f>HYPERLINK(CONCATENATE("https://livingatlas.arcgis.com/wayback/#ext=-70.68439505423666,18.730025011525825,-70.68239505423665,18.728025011525823"), "wayback")</f>
        <v>wayback</v>
      </c>
      <c r="K246" s="2" t="s">
        <v>418</v>
      </c>
      <c r="L246" s="5"/>
      <c r="M246" s="5" t="s">
        <v>422</v>
      </c>
      <c r="N246" s="5"/>
    </row>
    <row r="247" spans="1:14" x14ac:dyDescent="0.35">
      <c r="A247" s="2">
        <v>246</v>
      </c>
      <c r="B247" s="2" t="s">
        <v>427</v>
      </c>
      <c r="C247" s="2" t="s">
        <v>678</v>
      </c>
      <c r="D247" s="2" t="s">
        <v>20</v>
      </c>
      <c r="E247" s="2">
        <v>2044</v>
      </c>
      <c r="F247" s="2">
        <v>18.32353037904954</v>
      </c>
      <c r="G247" s="2">
        <v>-71.99214704251834</v>
      </c>
      <c r="H247" s="8" t="str">
        <f>HYPERLINK(CONCATENATE("https://faluhong.users.earthengine.app/view/hispaniola-lc-validation#id=PF246;lat=18.32353037904954;lon=-71.99214704251834;year=2000;bf=40;level=18;"), "landsat_time_series")</f>
        <v>landsat_time_series</v>
      </c>
      <c r="I247" s="8" t="str">
        <f>HYPERLINK(CONCATENATE("https://jstnbraaten.users.earthengine.app/view/landsat-timeseries-explorer#run=true;lon=-71.99214704251834;lat=18.32353037904954;from=01-01;to=12-31;index=NBR;rgb=NIR%2FRED%2FGREEN;chipwidth=1;"), "landsat_chips")</f>
        <v>landsat_chips</v>
      </c>
      <c r="J247" s="8" t="str">
        <f>HYPERLINK(CONCATENATE("https://livingatlas.arcgis.com/wayback/#ext=-71.99314704251834,18.32453037904954,-71.99114704251834,18.32253037904954"), "wayback")</f>
        <v>wayback</v>
      </c>
      <c r="K247" s="2" t="s">
        <v>418</v>
      </c>
      <c r="L247" s="5"/>
      <c r="M247" s="5" t="s">
        <v>422</v>
      </c>
      <c r="N247" s="5"/>
    </row>
    <row r="248" spans="1:14" x14ac:dyDescent="0.35">
      <c r="A248" s="2">
        <v>247</v>
      </c>
      <c r="B248" s="2" t="s">
        <v>427</v>
      </c>
      <c r="C248" s="2" t="s">
        <v>679</v>
      </c>
      <c r="D248" s="2" t="s">
        <v>10</v>
      </c>
      <c r="E248" s="2">
        <v>349</v>
      </c>
      <c r="F248" s="2">
        <v>19.49319609527377</v>
      </c>
      <c r="G248" s="2">
        <v>-70.313550931756708</v>
      </c>
      <c r="H248" s="8" t="str">
        <f>HYPERLINK(CONCATENATE("https://faluhong.users.earthengine.app/view/hispaniola-lc-validation#id=PF247;lat=19.493196095273767;lon=-70.31355093175671;year=2000;bf=40;level=18;"), "landsat_time_series")</f>
        <v>landsat_time_series</v>
      </c>
      <c r="I248" s="8" t="str">
        <f>HYPERLINK(CONCATENATE("https://jstnbraaten.users.earthengine.app/view/landsat-timeseries-explorer#run=true;lon=-70.31355093175671;lat=19.493196095273767;from=01-01;to=12-31;index=NBR;rgb=NIR%2FRED%2FGREEN;chipwidth=1;"), "landsat_chips")</f>
        <v>landsat_chips</v>
      </c>
      <c r="J248" s="8" t="str">
        <f>HYPERLINK(CONCATENATE("https://livingatlas.arcgis.com/wayback/#ext=-70.31455093175671,19.494196095273768,-70.3125509317567,19.492196095273766"), "wayback")</f>
        <v>wayback</v>
      </c>
      <c r="K248" s="2" t="s">
        <v>422</v>
      </c>
      <c r="L248" s="5"/>
      <c r="M248" s="5" t="s">
        <v>422</v>
      </c>
      <c r="N248" s="5"/>
    </row>
    <row r="249" spans="1:14" x14ac:dyDescent="0.35">
      <c r="A249" s="2">
        <v>248</v>
      </c>
      <c r="B249" s="2" t="s">
        <v>427</v>
      </c>
      <c r="C249" s="2" t="s">
        <v>680</v>
      </c>
      <c r="D249" s="2" t="s">
        <v>10</v>
      </c>
      <c r="E249" s="2">
        <v>1297</v>
      </c>
      <c r="F249" s="2">
        <v>19.02077930595263</v>
      </c>
      <c r="G249" s="2">
        <v>-70.517144551313038</v>
      </c>
      <c r="H249" s="8" t="str">
        <f>HYPERLINK(CONCATENATE("https://faluhong.users.earthengine.app/view/hispaniola-lc-validation#id=PF248;lat=19.02077930595263;lon=-70.51714455131304;year=2000;bf=40;level=18;"), "landsat_time_series")</f>
        <v>landsat_time_series</v>
      </c>
      <c r="I249" s="8" t="str">
        <f>HYPERLINK(CONCATENATE("https://jstnbraaten.users.earthengine.app/view/landsat-timeseries-explorer#run=true;lon=-70.51714455131304;lat=19.02077930595263;from=01-01;to=12-31;index=NBR;rgb=NIR%2FRED%2FGREEN;chipwidth=1;"), "landsat_chips")</f>
        <v>landsat_chips</v>
      </c>
      <c r="J249" s="8" t="str">
        <f>HYPERLINK(CONCATENATE("https://livingatlas.arcgis.com/wayback/#ext=-70.51814455131304,19.02177930595263,-70.51614455131303,19.01977930595263"), "wayback")</f>
        <v>wayback</v>
      </c>
      <c r="K249" s="2" t="s">
        <v>418</v>
      </c>
      <c r="L249" s="5"/>
      <c r="M249" s="5" t="s">
        <v>418</v>
      </c>
      <c r="N249" s="5" t="s">
        <v>419</v>
      </c>
    </row>
    <row r="250" spans="1:14" x14ac:dyDescent="0.35">
      <c r="A250" s="2">
        <v>249</v>
      </c>
      <c r="B250" s="2" t="s">
        <v>427</v>
      </c>
      <c r="C250" s="2" t="s">
        <v>681</v>
      </c>
      <c r="D250" s="2" t="s">
        <v>20</v>
      </c>
      <c r="E250" s="2">
        <v>201</v>
      </c>
      <c r="F250" s="2">
        <v>18.780804541304668</v>
      </c>
      <c r="G250" s="2">
        <v>-72.139434000569622</v>
      </c>
      <c r="H250" s="8" t="str">
        <f>HYPERLINK(CONCATENATE("https://faluhong.users.earthengine.app/view/hispaniola-lc-validation#id=PF249;lat=18.78080454130467;lon=-72.13943400056962;year=2000;bf=40;level=18;"), "landsat_time_series")</f>
        <v>landsat_time_series</v>
      </c>
      <c r="I250" s="8" t="str">
        <f>HYPERLINK(CONCATENATE("https://jstnbraaten.users.earthengine.app/view/landsat-timeseries-explorer#run=true;lon=-72.13943400056962;lat=18.78080454130467;from=01-01;to=12-31;index=NBR;rgb=NIR%2FRED%2FGREEN;chipwidth=1;"), "landsat_chips")</f>
        <v>landsat_chips</v>
      </c>
      <c r="J250" s="8" t="str">
        <f>HYPERLINK(CONCATENATE("https://livingatlas.arcgis.com/wayback/#ext=-72.14043400056963,18.78180454130467,-72.13843400056962,18.779804541304667"), "wayback")</f>
        <v>wayback</v>
      </c>
      <c r="K250" s="2" t="s">
        <v>422</v>
      </c>
      <c r="L250" s="5"/>
      <c r="M250" s="5" t="s">
        <v>422</v>
      </c>
      <c r="N250" s="5"/>
    </row>
    <row r="251" spans="1:14" x14ac:dyDescent="0.35">
      <c r="A251" s="2">
        <v>250</v>
      </c>
      <c r="B251" s="2" t="s">
        <v>427</v>
      </c>
      <c r="C251" s="2" t="s">
        <v>682</v>
      </c>
      <c r="D251" s="2" t="s">
        <v>20</v>
      </c>
      <c r="E251" s="2">
        <v>16</v>
      </c>
      <c r="F251" s="2">
        <v>18.28113112822356</v>
      </c>
      <c r="G251" s="2">
        <v>-73.343220602986108</v>
      </c>
      <c r="H251" s="8" t="str">
        <f>HYPERLINK(CONCATENATE("https://faluhong.users.earthengine.app/view/hispaniola-lc-validation#id=PF250;lat=18.281131128223556;lon=-73.34322060298611;year=2000;bf=40;level=18;"), "landsat_time_series")</f>
        <v>landsat_time_series</v>
      </c>
      <c r="I251" s="8" t="str">
        <f>HYPERLINK(CONCATENATE("https://jstnbraaten.users.earthengine.app/view/landsat-timeseries-explorer#run=true;lon=-73.34322060298611;lat=18.281131128223556;from=01-01;to=12-31;index=NBR;rgb=NIR%2FRED%2FGREEN;chipwidth=1;"), "landsat_chips")</f>
        <v>landsat_chips</v>
      </c>
      <c r="J251" s="8" t="str">
        <f>HYPERLINK(CONCATENATE("https://livingatlas.arcgis.com/wayback/#ext=-73.34422060298611,18.282131128223558,-73.3422206029861,18.280131128223555"), "wayback")</f>
        <v>wayback</v>
      </c>
      <c r="K251" s="2" t="s">
        <v>422</v>
      </c>
      <c r="L251" s="5"/>
      <c r="M251" s="5" t="s">
        <v>422</v>
      </c>
      <c r="N251" s="5"/>
    </row>
    <row r="252" spans="1:14" x14ac:dyDescent="0.35">
      <c r="A252" s="2">
        <v>251</v>
      </c>
      <c r="B252" s="2" t="s">
        <v>427</v>
      </c>
      <c r="C252" s="2" t="s">
        <v>683</v>
      </c>
      <c r="D252" s="2" t="s">
        <v>20</v>
      </c>
      <c r="E252" s="2">
        <v>243</v>
      </c>
      <c r="F252" s="2">
        <v>18.81757480597728</v>
      </c>
      <c r="G252" s="2">
        <v>-72.182383555601703</v>
      </c>
      <c r="H252" s="8" t="str">
        <f>HYPERLINK(CONCATENATE("https://faluhong.users.earthengine.app/view/hispaniola-lc-validation#id=PF251;lat=18.817574805977284;lon=-72.1823835556017;year=2000;bf=40;level=18;"), "landsat_time_series")</f>
        <v>landsat_time_series</v>
      </c>
      <c r="I252" s="8" t="str">
        <f>HYPERLINK(CONCATENATE("https://jstnbraaten.users.earthengine.app/view/landsat-timeseries-explorer#run=true;lon=-72.1823835556017;lat=18.817574805977284;from=01-01;to=12-31;index=NBR;rgb=NIR%2FRED%2FGREEN;chipwidth=1;"), "landsat_chips")</f>
        <v>landsat_chips</v>
      </c>
      <c r="J252" s="8" t="str">
        <f>HYPERLINK(CONCATENATE("https://livingatlas.arcgis.com/wayback/#ext=-72.18338355560171,18.818574805977285,-72.1813835556017,18.816574805977282"), "wayback")</f>
        <v>wayback</v>
      </c>
      <c r="K252" s="2" t="s">
        <v>422</v>
      </c>
      <c r="L252" s="5"/>
      <c r="M252" s="5" t="s">
        <v>422</v>
      </c>
      <c r="N252" s="5"/>
    </row>
    <row r="253" spans="1:14" x14ac:dyDescent="0.35">
      <c r="A253" s="2">
        <v>252</v>
      </c>
      <c r="B253" s="2" t="s">
        <v>427</v>
      </c>
      <c r="C253" s="2" t="s">
        <v>684</v>
      </c>
      <c r="D253" s="2" t="s">
        <v>10</v>
      </c>
      <c r="E253" s="2">
        <v>312</v>
      </c>
      <c r="F253" s="2">
        <v>18.92134255021044</v>
      </c>
      <c r="G253" s="2">
        <v>-70.333420032739483</v>
      </c>
      <c r="H253" s="8" t="str">
        <f>HYPERLINK(CONCATENATE("https://faluhong.users.earthengine.app/view/hispaniola-lc-validation#id=PF252;lat=18.92134255021044;lon=-70.33342003273948;year=2000;bf=40;level=18;"), "landsat_time_series")</f>
        <v>landsat_time_series</v>
      </c>
      <c r="I253" s="8" t="str">
        <f>HYPERLINK(CONCATENATE("https://jstnbraaten.users.earthengine.app/view/landsat-timeseries-explorer#run=true;lon=-70.33342003273948;lat=18.92134255021044;from=01-01;to=12-31;index=NBR;rgb=NIR%2FRED%2FGREEN;chipwidth=1;"), "landsat_chips")</f>
        <v>landsat_chips</v>
      </c>
      <c r="J253" s="8" t="str">
        <f>HYPERLINK(CONCATENATE("https://livingatlas.arcgis.com/wayback/#ext=-70.33442003273949,18.92234255021044,-70.33242003273948,18.92034255021044"), "wayback")</f>
        <v>wayback</v>
      </c>
      <c r="K253" s="2" t="s">
        <v>422</v>
      </c>
      <c r="L253" s="5"/>
      <c r="M253" s="5" t="s">
        <v>422</v>
      </c>
      <c r="N253" s="5"/>
    </row>
    <row r="254" spans="1:14" x14ac:dyDescent="0.35">
      <c r="A254" s="2">
        <v>253</v>
      </c>
      <c r="B254" s="2" t="s">
        <v>427</v>
      </c>
      <c r="C254" s="2" t="s">
        <v>685</v>
      </c>
      <c r="D254" s="2" t="s">
        <v>10</v>
      </c>
      <c r="E254" s="2">
        <v>71</v>
      </c>
      <c r="F254" s="2">
        <v>19.659131810144931</v>
      </c>
      <c r="G254" s="2">
        <v>-71.180098760240071</v>
      </c>
      <c r="H254" s="8" t="str">
        <f>HYPERLINK(CONCATENATE("https://faluhong.users.earthengine.app/view/hispaniola-lc-validation#id=PF253;lat=19.65913181014493;lon=-71.18009876024007;year=2000;bf=40;level=18;"), "landsat_time_series")</f>
        <v>landsat_time_series</v>
      </c>
      <c r="I254" s="8" t="str">
        <f>HYPERLINK(CONCATENATE("https://jstnbraaten.users.earthengine.app/view/landsat-timeseries-explorer#run=true;lon=-71.18009876024007;lat=19.65913181014493;from=01-01;to=12-31;index=NBR;rgb=NIR%2FRED%2FGREEN;chipwidth=1;"), "landsat_chips")</f>
        <v>landsat_chips</v>
      </c>
      <c r="J254" s="8" t="str">
        <f>HYPERLINK(CONCATENATE("https://livingatlas.arcgis.com/wayback/#ext=-71.18109876024008,19.660131810144932,-71.17909876024007,19.65813181014493"), "wayback")</f>
        <v>wayback</v>
      </c>
      <c r="K254" s="2" t="s">
        <v>422</v>
      </c>
      <c r="L254" s="5"/>
      <c r="M254" s="5" t="s">
        <v>422</v>
      </c>
      <c r="N254" s="5"/>
    </row>
    <row r="255" spans="1:14" x14ac:dyDescent="0.35">
      <c r="A255" s="2">
        <v>254</v>
      </c>
      <c r="B255" s="2" t="s">
        <v>427</v>
      </c>
      <c r="C255" s="2" t="s">
        <v>686</v>
      </c>
      <c r="D255" s="2" t="s">
        <v>10</v>
      </c>
      <c r="E255" s="2">
        <v>703</v>
      </c>
      <c r="F255" s="2">
        <v>19.111937670681229</v>
      </c>
      <c r="G255" s="2">
        <v>-70.705353305789984</v>
      </c>
      <c r="H255" s="8" t="str">
        <f>HYPERLINK(CONCATENATE("https://faluhong.users.earthengine.app/view/hispaniola-lc-validation#id=PF254;lat=19.11193767068123;lon=-70.70535330578998;year=2000;bf=40;level=18;"), "landsat_time_series")</f>
        <v>landsat_time_series</v>
      </c>
      <c r="I255" s="8" t="str">
        <f>HYPERLINK(CONCATENATE("https://jstnbraaten.users.earthengine.app/view/landsat-timeseries-explorer#run=true;lon=-70.70535330578998;lat=19.11193767068123;from=01-01;to=12-31;index=NBR;rgb=NIR%2FRED%2FGREEN;chipwidth=1;"), "landsat_chips")</f>
        <v>landsat_chips</v>
      </c>
      <c r="J255" s="8" t="str">
        <f>HYPERLINK(CONCATENATE("https://livingatlas.arcgis.com/wayback/#ext=-70.70635330578999,19.11293767068123,-70.70435330578998,19.110937670681228"), "wayback")</f>
        <v>wayback</v>
      </c>
      <c r="K255" s="2" t="s">
        <v>422</v>
      </c>
      <c r="L255" s="5"/>
      <c r="M255" s="5" t="s">
        <v>422</v>
      </c>
      <c r="N255" s="5"/>
    </row>
    <row r="256" spans="1:14" x14ac:dyDescent="0.35">
      <c r="A256" s="2">
        <v>255</v>
      </c>
      <c r="B256" s="2" t="s">
        <v>427</v>
      </c>
      <c r="C256" s="2" t="s">
        <v>687</v>
      </c>
      <c r="D256" s="2" t="s">
        <v>20</v>
      </c>
      <c r="E256" s="2">
        <v>1331</v>
      </c>
      <c r="F256" s="2">
        <v>18.430816408911468</v>
      </c>
      <c r="G256" s="2">
        <v>-72.330687302757056</v>
      </c>
      <c r="H256" s="8" t="str">
        <f>HYPERLINK(CONCATENATE("https://faluhong.users.earthengine.app/view/hispaniola-lc-validation#id=PF255;lat=18.43081640891147;lon=-72.33068730275706;year=2000;bf=40;level=18;"), "landsat_time_series")</f>
        <v>landsat_time_series</v>
      </c>
      <c r="I256" s="8" t="str">
        <f>HYPERLINK(CONCATENATE("https://jstnbraaten.users.earthengine.app/view/landsat-timeseries-explorer#run=true;lon=-72.33068730275706;lat=18.43081640891147;from=01-01;to=12-31;index=NBR;rgb=NIR%2FRED%2FGREEN;chipwidth=1;"), "landsat_chips")</f>
        <v>landsat_chips</v>
      </c>
      <c r="J256" s="8" t="str">
        <f>HYPERLINK(CONCATENATE("https://livingatlas.arcgis.com/wayback/#ext=-72.33168730275706,18.43181640891147,-72.32968730275705,18.429816408911467"), "wayback")</f>
        <v>wayback</v>
      </c>
      <c r="K256" s="2" t="s">
        <v>422</v>
      </c>
      <c r="L256" s="5"/>
      <c r="M256" s="5" t="s">
        <v>422</v>
      </c>
      <c r="N256" s="5"/>
    </row>
    <row r="257" spans="1:14" x14ac:dyDescent="0.35">
      <c r="A257" s="2">
        <v>256</v>
      </c>
      <c r="B257" s="2" t="s">
        <v>427</v>
      </c>
      <c r="C257" s="2" t="s">
        <v>688</v>
      </c>
      <c r="D257" s="2" t="s">
        <v>10</v>
      </c>
      <c r="E257" s="2">
        <v>998</v>
      </c>
      <c r="F257" s="2">
        <v>18.395708842622131</v>
      </c>
      <c r="G257" s="2">
        <v>-70.354423264573157</v>
      </c>
      <c r="H257" s="8" t="str">
        <f>HYPERLINK(CONCATENATE("https://faluhong.users.earthengine.app/view/hispaniola-lc-validation#id=PF256;lat=18.395708842622135;lon=-70.35442326457316;year=2000;bf=40;level=18;"), "landsat_time_series")</f>
        <v>landsat_time_series</v>
      </c>
      <c r="I257" s="8" t="str">
        <f>HYPERLINK(CONCATENATE("https://jstnbraaten.users.earthengine.app/view/landsat-timeseries-explorer#run=true;lon=-70.35442326457316;lat=18.395708842622135;from=01-01;to=12-31;index=NBR;rgb=NIR%2FRED%2FGREEN;chipwidth=1;"), "landsat_chips")</f>
        <v>landsat_chips</v>
      </c>
      <c r="J257" s="8" t="str">
        <f>HYPERLINK(CONCATENATE("https://livingatlas.arcgis.com/wayback/#ext=-70.35542326457316,18.396708842622136,-70.35342326457315,18.394708842622133"), "wayback")</f>
        <v>wayback</v>
      </c>
      <c r="K257" s="2" t="s">
        <v>422</v>
      </c>
      <c r="L257" s="5"/>
      <c r="M257" s="5" t="s">
        <v>422</v>
      </c>
      <c r="N257" s="5"/>
    </row>
    <row r="258" spans="1:14" x14ac:dyDescent="0.35">
      <c r="A258" s="2">
        <v>257</v>
      </c>
      <c r="B258" s="2" t="s">
        <v>427</v>
      </c>
      <c r="C258" s="2" t="s">
        <v>689</v>
      </c>
      <c r="D258" s="2" t="s">
        <v>10</v>
      </c>
      <c r="E258" s="2">
        <v>1853</v>
      </c>
      <c r="F258" s="2">
        <v>18.30401231448511</v>
      </c>
      <c r="G258" s="2">
        <v>-71.697521242128389</v>
      </c>
      <c r="H258" s="8" t="str">
        <f>HYPERLINK(CONCATENATE("https://faluhong.users.earthengine.app/view/hispaniola-lc-validation#id=PF257;lat=18.304012314485114;lon=-71.69752124212839;year=2000;bf=40;level=18;"), "landsat_time_series")</f>
        <v>landsat_time_series</v>
      </c>
      <c r="I258" s="8" t="str">
        <f>HYPERLINK(CONCATENATE("https://jstnbraaten.users.earthengine.app/view/landsat-timeseries-explorer#run=true;lon=-71.69752124212839;lat=18.304012314485114;from=01-01;to=12-31;index=NBR;rgb=NIR%2FRED%2FGREEN;chipwidth=1;"), "landsat_chips")</f>
        <v>landsat_chips</v>
      </c>
      <c r="J258" s="8" t="str">
        <f>HYPERLINK(CONCATENATE("https://livingatlas.arcgis.com/wayback/#ext=-71.6985212421284,18.305012314485115,-71.69652124212838,18.303012314485112"), "wayback")</f>
        <v>wayback</v>
      </c>
      <c r="K258" s="2" t="s">
        <v>422</v>
      </c>
      <c r="L258" s="5"/>
      <c r="M258" s="5" t="s">
        <v>422</v>
      </c>
      <c r="N258" s="5"/>
    </row>
    <row r="259" spans="1:14" x14ac:dyDescent="0.35">
      <c r="A259" s="2">
        <v>258</v>
      </c>
      <c r="B259" s="2" t="s">
        <v>427</v>
      </c>
      <c r="C259" s="2" t="s">
        <v>690</v>
      </c>
      <c r="D259" s="2" t="s">
        <v>10</v>
      </c>
      <c r="E259" s="2">
        <v>1193</v>
      </c>
      <c r="F259" s="2">
        <v>19.150229333484958</v>
      </c>
      <c r="G259" s="2">
        <v>-71.437371464527374</v>
      </c>
      <c r="H259" s="8" t="str">
        <f>HYPERLINK(CONCATENATE("https://faluhong.users.earthengine.app/view/hispaniola-lc-validation#id=PF258;lat=19.15022933348496;lon=-71.43737146452737;year=2000;bf=40;level=18;"), "landsat_time_series")</f>
        <v>landsat_time_series</v>
      </c>
      <c r="I259" s="8" t="str">
        <f>HYPERLINK(CONCATENATE("https://jstnbraaten.users.earthengine.app/view/landsat-timeseries-explorer#run=true;lon=-71.43737146452737;lat=19.15022933348496;from=01-01;to=12-31;index=NBR;rgb=NIR%2FRED%2FGREEN;chipwidth=1;"), "landsat_chips")</f>
        <v>landsat_chips</v>
      </c>
      <c r="J259" s="8" t="str">
        <f>HYPERLINK(CONCATENATE("https://livingatlas.arcgis.com/wayback/#ext=-71.43837146452738,19.15122933348496,-71.43637146452737,19.149229333484957"), "wayback")</f>
        <v>wayback</v>
      </c>
      <c r="K259" s="2" t="s">
        <v>422</v>
      </c>
      <c r="L259" s="5"/>
      <c r="M259" s="5" t="s">
        <v>422</v>
      </c>
      <c r="N259" s="5"/>
    </row>
    <row r="260" spans="1:14" x14ac:dyDescent="0.35">
      <c r="A260" s="2">
        <v>259</v>
      </c>
      <c r="B260" s="2" t="s">
        <v>427</v>
      </c>
      <c r="C260" s="2" t="s">
        <v>691</v>
      </c>
      <c r="D260" s="2" t="s">
        <v>20</v>
      </c>
      <c r="E260" s="2">
        <v>202</v>
      </c>
      <c r="F260" s="2">
        <v>19.74445785816836</v>
      </c>
      <c r="G260" s="2">
        <v>-73.449781078485614</v>
      </c>
      <c r="H260" s="8" t="str">
        <f>HYPERLINK(CONCATENATE("https://faluhong.users.earthengine.app/view/hispaniola-lc-validation#id=PF259;lat=19.744457858168357;lon=-73.44978107848561;year=2000;bf=40;level=18;"), "landsat_time_series")</f>
        <v>landsat_time_series</v>
      </c>
      <c r="I260" s="8" t="str">
        <f>HYPERLINK(CONCATENATE("https://jstnbraaten.users.earthengine.app/view/landsat-timeseries-explorer#run=true;lon=-73.44978107848561;lat=19.744457858168357;from=01-01;to=12-31;index=NBR;rgb=NIR%2FRED%2FGREEN;chipwidth=1;"), "landsat_chips")</f>
        <v>landsat_chips</v>
      </c>
      <c r="J260" s="8" t="str">
        <f>HYPERLINK(CONCATENATE("https://livingatlas.arcgis.com/wayback/#ext=-73.45078107848562,19.745457858168358,-73.44878107848561,19.743457858168355"), "wayback")</f>
        <v>wayback</v>
      </c>
      <c r="K260" s="2" t="s">
        <v>422</v>
      </c>
      <c r="L260" s="5"/>
      <c r="M260" s="5" t="s">
        <v>422</v>
      </c>
      <c r="N260" s="5"/>
    </row>
    <row r="261" spans="1:14" x14ac:dyDescent="0.35">
      <c r="A261" s="2">
        <v>260</v>
      </c>
      <c r="B261" s="2" t="s">
        <v>427</v>
      </c>
      <c r="C261" s="2" t="s">
        <v>692</v>
      </c>
      <c r="D261" s="2" t="s">
        <v>10</v>
      </c>
      <c r="E261" s="2">
        <v>8</v>
      </c>
      <c r="F261" s="2">
        <v>18.45745515032965</v>
      </c>
      <c r="G261" s="2">
        <v>-69.357628102317676</v>
      </c>
      <c r="H261" s="8" t="str">
        <f>HYPERLINK(CONCATENATE("https://faluhong.users.earthengine.app/view/hispaniola-lc-validation#id=PF260;lat=18.45745515032965;lon=-69.35762810231768;year=2000;bf=40;level=18;"), "landsat_time_series")</f>
        <v>landsat_time_series</v>
      </c>
      <c r="I261" s="8" t="str">
        <f>HYPERLINK(CONCATENATE("https://jstnbraaten.users.earthengine.app/view/landsat-timeseries-explorer#run=true;lon=-69.35762810231768;lat=18.45745515032965;from=01-01;to=12-31;index=NBR;rgb=NIR%2FRED%2FGREEN;chipwidth=1;"), "landsat_chips")</f>
        <v>landsat_chips</v>
      </c>
      <c r="J261" s="8" t="str">
        <f>HYPERLINK(CONCATENATE("https://livingatlas.arcgis.com/wayback/#ext=-69.35862810231768,18.45845515032965,-69.35662810231767,18.45645515032965"), "wayback")</f>
        <v>wayback</v>
      </c>
      <c r="K261" s="2" t="s">
        <v>422</v>
      </c>
      <c r="L261" s="5"/>
      <c r="M261" s="5" t="s">
        <v>422</v>
      </c>
      <c r="N261" s="5"/>
    </row>
    <row r="262" spans="1:14" x14ac:dyDescent="0.35">
      <c r="A262" s="2">
        <v>261</v>
      </c>
      <c r="B262" s="2" t="s">
        <v>427</v>
      </c>
      <c r="C262" s="2" t="s">
        <v>693</v>
      </c>
      <c r="D262" s="2" t="s">
        <v>20</v>
      </c>
      <c r="E262" s="2">
        <v>2108</v>
      </c>
      <c r="F262" s="2">
        <v>18.33441572947077</v>
      </c>
      <c r="G262" s="2">
        <v>-71.962036762285095</v>
      </c>
      <c r="H262" s="8" t="str">
        <f>HYPERLINK(CONCATENATE("https://faluhong.users.earthengine.app/view/hispaniola-lc-validation#id=PF261;lat=18.334415729470773;lon=-71.9620367622851;year=2000;bf=40;level=18;"), "landsat_time_series")</f>
        <v>landsat_time_series</v>
      </c>
      <c r="I262" s="8" t="str">
        <f>HYPERLINK(CONCATENATE("https://jstnbraaten.users.earthengine.app/view/landsat-timeseries-explorer#run=true;lon=-71.9620367622851;lat=18.334415729470773;from=01-01;to=12-31;index=NBR;rgb=NIR%2FRED%2FGREEN;chipwidth=1;"), "landsat_chips")</f>
        <v>landsat_chips</v>
      </c>
      <c r="J262" s="8" t="str">
        <f>HYPERLINK(CONCATENATE("https://livingatlas.arcgis.com/wayback/#ext=-71.9630367622851,18.335415729470775,-71.96103676228509,18.333415729470772"), "wayback")</f>
        <v>wayback</v>
      </c>
      <c r="K262" s="2" t="s">
        <v>418</v>
      </c>
      <c r="L262" s="5"/>
      <c r="M262" s="5" t="s">
        <v>422</v>
      </c>
      <c r="N262" s="5"/>
    </row>
    <row r="263" spans="1:14" x14ac:dyDescent="0.35">
      <c r="A263" s="2">
        <v>262</v>
      </c>
      <c r="B263" s="2" t="s">
        <v>427</v>
      </c>
      <c r="C263" s="2" t="s">
        <v>694</v>
      </c>
      <c r="D263" s="2" t="s">
        <v>20</v>
      </c>
      <c r="E263" s="2">
        <v>313</v>
      </c>
      <c r="F263" s="2">
        <v>18.831442332761728</v>
      </c>
      <c r="G263" s="2">
        <v>-71.839035412793407</v>
      </c>
      <c r="H263" s="8" t="str">
        <f>HYPERLINK(CONCATENATE("https://faluhong.users.earthengine.app/view/hispaniola-lc-validation#id=PF262;lat=18.831442332761732;lon=-71.83903541279341;year=2000;bf=40;level=18;"), "landsat_time_series")</f>
        <v>landsat_time_series</v>
      </c>
      <c r="I263" s="8" t="str">
        <f>HYPERLINK(CONCATENATE("https://jstnbraaten.users.earthengine.app/view/landsat-timeseries-explorer#run=true;lon=-71.83903541279341;lat=18.831442332761732;from=01-01;to=12-31;index=NBR;rgb=NIR%2FRED%2FGREEN;chipwidth=1;"), "landsat_chips")</f>
        <v>landsat_chips</v>
      </c>
      <c r="J263" s="8" t="str">
        <f>HYPERLINK(CONCATENATE("https://livingatlas.arcgis.com/wayback/#ext=-71.84003541279341,18.832442332761733,-71.8380354127934,18.83044233276173"), "wayback")</f>
        <v>wayback</v>
      </c>
      <c r="K263" s="2" t="s">
        <v>422</v>
      </c>
      <c r="L263" s="5"/>
      <c r="M263" s="5" t="s">
        <v>422</v>
      </c>
      <c r="N263" s="5"/>
    </row>
    <row r="264" spans="1:14" x14ac:dyDescent="0.35">
      <c r="A264" s="2">
        <v>263</v>
      </c>
      <c r="B264" s="2" t="s">
        <v>427</v>
      </c>
      <c r="C264" s="2" t="s">
        <v>695</v>
      </c>
      <c r="D264" s="2" t="s">
        <v>10</v>
      </c>
      <c r="E264" s="2">
        <v>266</v>
      </c>
      <c r="F264" s="2">
        <v>18.824718444639299</v>
      </c>
      <c r="G264" s="2">
        <v>-69.292862011588937</v>
      </c>
      <c r="H264" s="8" t="str">
        <f>HYPERLINK(CONCATENATE("https://faluhong.users.earthengine.app/view/hispaniola-lc-validation#id=PF263;lat=18.824718444639295;lon=-69.29286201158894;year=2000;bf=40;level=18;"), "landsat_time_series")</f>
        <v>landsat_time_series</v>
      </c>
      <c r="I264" s="8" t="str">
        <f>HYPERLINK(CONCATENATE("https://jstnbraaten.users.earthengine.app/view/landsat-timeseries-explorer#run=true;lon=-69.29286201158894;lat=18.824718444639295;from=01-01;to=12-31;index=NBR;rgb=NIR%2FRED%2FGREEN;chipwidth=1;"), "landsat_chips")</f>
        <v>landsat_chips</v>
      </c>
      <c r="J264" s="8" t="str">
        <f>HYPERLINK(CONCATENATE("https://livingatlas.arcgis.com/wayback/#ext=-69.29386201158894,18.825718444639296,-69.29186201158893,18.823718444639294"), "wayback")</f>
        <v>wayback</v>
      </c>
      <c r="K264" s="2" t="s">
        <v>422</v>
      </c>
      <c r="L264" s="5"/>
      <c r="M264" s="5" t="s">
        <v>422</v>
      </c>
      <c r="N264" s="5"/>
    </row>
    <row r="265" spans="1:14" x14ac:dyDescent="0.35">
      <c r="A265" s="2">
        <v>264</v>
      </c>
      <c r="B265" s="2" t="s">
        <v>427</v>
      </c>
      <c r="C265" s="2" t="s">
        <v>696</v>
      </c>
      <c r="D265" s="2" t="s">
        <v>10</v>
      </c>
      <c r="E265" s="2">
        <v>37</v>
      </c>
      <c r="F265" s="2">
        <v>18.294406149752291</v>
      </c>
      <c r="G265" s="2">
        <v>-68.731089755399609</v>
      </c>
      <c r="H265" s="8" t="str">
        <f>HYPERLINK(CONCATENATE("https://faluhong.users.earthengine.app/view/hispaniola-lc-validation#id=PF264;lat=18.294406149752287;lon=-68.73108975539961;year=2000;bf=40;level=18;"), "landsat_time_series")</f>
        <v>landsat_time_series</v>
      </c>
      <c r="I265" s="8" t="str">
        <f>HYPERLINK(CONCATENATE("https://jstnbraaten.users.earthengine.app/view/landsat-timeseries-explorer#run=true;lon=-68.73108975539961;lat=18.294406149752287;from=01-01;to=12-31;index=NBR;rgb=NIR%2FRED%2FGREEN;chipwidth=1;"), "landsat_chips")</f>
        <v>landsat_chips</v>
      </c>
      <c r="J265" s="8" t="str">
        <f>HYPERLINK(CONCATENATE("https://livingatlas.arcgis.com/wayback/#ext=-68.73208975539961,18.29540614975229,-68.7300897553996,18.293406149752286"), "wayback")</f>
        <v>wayback</v>
      </c>
      <c r="K265" s="2" t="s">
        <v>422</v>
      </c>
      <c r="L265" s="5"/>
      <c r="M265" s="5" t="s">
        <v>422</v>
      </c>
      <c r="N265" s="5"/>
    </row>
    <row r="266" spans="1:14" x14ac:dyDescent="0.35">
      <c r="A266" s="2">
        <v>265</v>
      </c>
      <c r="B266" s="2" t="s">
        <v>427</v>
      </c>
      <c r="C266" s="2" t="s">
        <v>697</v>
      </c>
      <c r="D266" s="2" t="s">
        <v>20</v>
      </c>
      <c r="E266" s="2">
        <v>775</v>
      </c>
      <c r="F266" s="2">
        <v>18.746679644600551</v>
      </c>
      <c r="G266" s="2">
        <v>-71.936264249509293</v>
      </c>
      <c r="H266" s="8" t="str">
        <f>HYPERLINK(CONCATENATE("https://faluhong.users.earthengine.app/view/hispaniola-lc-validation#id=PF265;lat=18.74667964460055;lon=-71.93626424950929;year=2000;bf=40;level=18;"), "landsat_time_series")</f>
        <v>landsat_time_series</v>
      </c>
      <c r="I266" s="8" t="str">
        <f>HYPERLINK(CONCATENATE("https://jstnbraaten.users.earthengine.app/view/landsat-timeseries-explorer#run=true;lon=-71.93626424950929;lat=18.74667964460055;from=01-01;to=12-31;index=NBR;rgb=NIR%2FRED%2FGREEN;chipwidth=1;"), "landsat_chips")</f>
        <v>landsat_chips</v>
      </c>
      <c r="J266" s="8" t="str">
        <f>HYPERLINK(CONCATENATE("https://livingatlas.arcgis.com/wayback/#ext=-71.9372642495093,18.747679644600552,-71.93526424950929,18.74567964460055"), "wayback")</f>
        <v>wayback</v>
      </c>
      <c r="K266" s="2" t="s">
        <v>422</v>
      </c>
      <c r="L266" s="5"/>
      <c r="M266" s="5" t="s">
        <v>422</v>
      </c>
      <c r="N266" s="5"/>
    </row>
    <row r="267" spans="1:14" x14ac:dyDescent="0.35">
      <c r="A267" s="2">
        <v>266</v>
      </c>
      <c r="B267" s="2" t="s">
        <v>427</v>
      </c>
      <c r="C267" s="2" t="s">
        <v>698</v>
      </c>
      <c r="D267" s="2" t="s">
        <v>10</v>
      </c>
      <c r="E267" s="2">
        <v>1710</v>
      </c>
      <c r="F267" s="2">
        <v>18.186710542205951</v>
      </c>
      <c r="G267" s="2">
        <v>-71.462301621061314</v>
      </c>
      <c r="H267" s="8" t="str">
        <f>HYPERLINK(CONCATENATE("https://faluhong.users.earthengine.app/view/hispaniola-lc-validation#id=PF266;lat=18.18671054220595;lon=-71.46230162106131;year=2000;bf=40;level=18;"), "landsat_time_series")</f>
        <v>landsat_time_series</v>
      </c>
      <c r="I267" s="8" t="str">
        <f>HYPERLINK(CONCATENATE("https://jstnbraaten.users.earthengine.app/view/landsat-timeseries-explorer#run=true;lon=-71.46230162106131;lat=18.18671054220595;from=01-01;to=12-31;index=NBR;rgb=NIR%2FRED%2FGREEN;chipwidth=1;"), "landsat_chips")</f>
        <v>landsat_chips</v>
      </c>
      <c r="J267" s="8" t="str">
        <f>HYPERLINK(CONCATENATE("https://livingatlas.arcgis.com/wayback/#ext=-71.46330162106132,18.187710542205952,-71.46130162106131,18.18571054220595"), "wayback")</f>
        <v>wayback</v>
      </c>
      <c r="K267" s="2" t="s">
        <v>418</v>
      </c>
      <c r="L267" s="5"/>
      <c r="M267" s="5" t="s">
        <v>418</v>
      </c>
      <c r="N267" s="5" t="s">
        <v>419</v>
      </c>
    </row>
    <row r="268" spans="1:14" x14ac:dyDescent="0.35">
      <c r="A268" s="2">
        <v>267</v>
      </c>
      <c r="B268" s="2" t="s">
        <v>427</v>
      </c>
      <c r="C268" s="2" t="s">
        <v>699</v>
      </c>
      <c r="D268" s="2" t="s">
        <v>10</v>
      </c>
      <c r="E268" s="2">
        <v>2050</v>
      </c>
      <c r="F268" s="2">
        <v>19.029378047329001</v>
      </c>
      <c r="G268" s="2">
        <v>-71.072198017287135</v>
      </c>
      <c r="H268" s="8" t="str">
        <f>HYPERLINK(CONCATENATE("https://faluhong.users.earthengine.app/view/hispaniola-lc-validation#id=PF267;lat=19.029378047329004;lon=-71.07219801728714;year=2000;bf=40;level=18;"), "landsat_time_series")</f>
        <v>landsat_time_series</v>
      </c>
      <c r="I268" s="8" t="str">
        <f>HYPERLINK(CONCATENATE("https://jstnbraaten.users.earthengine.app/view/landsat-timeseries-explorer#run=true;lon=-71.07219801728714;lat=19.029378047329004;from=01-01;to=12-31;index=NBR;rgb=NIR%2FRED%2FGREEN;chipwidth=1;"), "landsat_chips")</f>
        <v>landsat_chips</v>
      </c>
      <c r="J268" s="8" t="str">
        <f>HYPERLINK(CONCATENATE("https://livingatlas.arcgis.com/wayback/#ext=-71.07319801728714,19.030378047329005,-71.07119801728713,19.028378047329003"), "wayback")</f>
        <v>wayback</v>
      </c>
      <c r="K268" s="2" t="s">
        <v>418</v>
      </c>
      <c r="L268" s="5"/>
      <c r="M268" s="5" t="s">
        <v>418</v>
      </c>
      <c r="N268" s="5" t="s">
        <v>419</v>
      </c>
    </row>
    <row r="269" spans="1:14" x14ac:dyDescent="0.35">
      <c r="A269" s="2">
        <v>268</v>
      </c>
      <c r="B269" s="2" t="s">
        <v>427</v>
      </c>
      <c r="C269" s="2" t="s">
        <v>700</v>
      </c>
      <c r="D269" s="2" t="s">
        <v>10</v>
      </c>
      <c r="E269" s="2">
        <v>694</v>
      </c>
      <c r="F269" s="2">
        <v>18.706788474998721</v>
      </c>
      <c r="G269" s="2">
        <v>-70.458892273197534</v>
      </c>
      <c r="H269" s="8" t="str">
        <f>HYPERLINK(CONCATENATE("https://faluhong.users.earthengine.app/view/hispaniola-lc-validation#id=PF268;lat=18.706788474998717;lon=-70.45889227319753;year=2000;bf=40;level=18;"), "landsat_time_series")</f>
        <v>landsat_time_series</v>
      </c>
      <c r="I269" s="8" t="str">
        <f>HYPERLINK(CONCATENATE("https://jstnbraaten.users.earthengine.app/view/landsat-timeseries-explorer#run=true;lon=-70.45889227319753;lat=18.706788474998717;from=01-01;to=12-31;index=NBR;rgb=NIR%2FRED%2FGREEN;chipwidth=1;"), "landsat_chips")</f>
        <v>landsat_chips</v>
      </c>
      <c r="J269" s="8" t="str">
        <f>HYPERLINK(CONCATENATE("https://livingatlas.arcgis.com/wayback/#ext=-70.45989227319754,18.70778847499872,-70.45789227319753,18.705788474998716"), "wayback")</f>
        <v>wayback</v>
      </c>
      <c r="K269" s="2" t="s">
        <v>422</v>
      </c>
      <c r="L269" s="5"/>
      <c r="M269" s="5" t="s">
        <v>422</v>
      </c>
      <c r="N269" s="5"/>
    </row>
    <row r="270" spans="1:14" x14ac:dyDescent="0.35">
      <c r="A270" s="2">
        <v>269</v>
      </c>
      <c r="B270" s="2" t="s">
        <v>427</v>
      </c>
      <c r="C270" s="2" t="s">
        <v>701</v>
      </c>
      <c r="D270" s="2" t="s">
        <v>10</v>
      </c>
      <c r="E270" s="2">
        <v>451</v>
      </c>
      <c r="F270" s="2">
        <v>19.37612059828345</v>
      </c>
      <c r="G270" s="2">
        <v>-70.125047649548719</v>
      </c>
      <c r="H270" s="8" t="str">
        <f>HYPERLINK(CONCATENATE("https://faluhong.users.earthengine.app/view/hispaniola-lc-validation#id=PF269;lat=19.376120598283453;lon=-70.12504764954872;year=2000;bf=40;level=18;"), "landsat_time_series")</f>
        <v>landsat_time_series</v>
      </c>
      <c r="I270" s="8" t="str">
        <f>HYPERLINK(CONCATENATE("https://jstnbraaten.users.earthengine.app/view/landsat-timeseries-explorer#run=true;lon=-70.12504764954872;lat=19.376120598283453;from=01-01;to=12-31;index=NBR;rgb=NIR%2FRED%2FGREEN;chipwidth=1;"), "landsat_chips")</f>
        <v>landsat_chips</v>
      </c>
      <c r="J270" s="8" t="str">
        <f>HYPERLINK(CONCATENATE("https://livingatlas.arcgis.com/wayback/#ext=-70.12604764954872,19.377120598283454,-70.12404764954871,19.375120598283452"), "wayback")</f>
        <v>wayback</v>
      </c>
      <c r="K270" s="2" t="s">
        <v>422</v>
      </c>
      <c r="L270" s="5"/>
      <c r="M270" s="5" t="s">
        <v>422</v>
      </c>
      <c r="N270" s="5"/>
    </row>
    <row r="271" spans="1:14" x14ac:dyDescent="0.35">
      <c r="A271" s="2">
        <v>270</v>
      </c>
      <c r="B271" s="2" t="s">
        <v>427</v>
      </c>
      <c r="C271" s="2" t="s">
        <v>702</v>
      </c>
      <c r="D271" s="2" t="s">
        <v>20</v>
      </c>
      <c r="E271" s="2">
        <v>945</v>
      </c>
      <c r="F271" s="2">
        <v>18.41010590800709</v>
      </c>
      <c r="G271" s="2">
        <v>-73.251100781243338</v>
      </c>
      <c r="H271" s="8" t="str">
        <f>HYPERLINK(CONCATENATE("https://faluhong.users.earthengine.app/view/hispaniola-lc-validation#id=PF270;lat=18.410105908007086;lon=-73.25110078124334;year=2000;bf=40;level=18;"), "landsat_time_series")</f>
        <v>landsat_time_series</v>
      </c>
      <c r="I271" s="8" t="str">
        <f>HYPERLINK(CONCATENATE("https://jstnbraaten.users.earthengine.app/view/landsat-timeseries-explorer#run=true;lon=-73.25110078124334;lat=18.410105908007086;from=01-01;to=12-31;index=NBR;rgb=NIR%2FRED%2FGREEN;chipwidth=1;"), "landsat_chips")</f>
        <v>landsat_chips</v>
      </c>
      <c r="J271" s="8" t="str">
        <f>HYPERLINK(CONCATENATE("https://livingatlas.arcgis.com/wayback/#ext=-73.25210078124334,18.411105908007087,-73.25010078124333,18.409105908007085"), "wayback")</f>
        <v>wayback</v>
      </c>
      <c r="K271" s="2" t="s">
        <v>422</v>
      </c>
      <c r="L271" s="5"/>
      <c r="M271" s="5" t="s">
        <v>422</v>
      </c>
      <c r="N271" s="5"/>
    </row>
    <row r="272" spans="1:14" x14ac:dyDescent="0.35">
      <c r="A272" s="2">
        <v>271</v>
      </c>
      <c r="B272" s="2" t="s">
        <v>427</v>
      </c>
      <c r="C272" s="2" t="s">
        <v>703</v>
      </c>
      <c r="D272" s="2" t="s">
        <v>20</v>
      </c>
      <c r="E272" s="2">
        <v>723</v>
      </c>
      <c r="F272" s="2">
        <v>18.461254534397579</v>
      </c>
      <c r="G272" s="2">
        <v>-73.927695927649822</v>
      </c>
      <c r="H272" s="8" t="str">
        <f>HYPERLINK(CONCATENATE("https://faluhong.users.earthengine.app/view/hispaniola-lc-validation#id=PF271;lat=18.46125453439758;lon=-73.92769592764982;year=2000;bf=40;level=18;"), "landsat_time_series")</f>
        <v>landsat_time_series</v>
      </c>
      <c r="I272" s="8" t="str">
        <f>HYPERLINK(CONCATENATE("https://jstnbraaten.users.earthengine.app/view/landsat-timeseries-explorer#run=true;lon=-73.92769592764982;lat=18.46125453439758;from=01-01;to=12-31;index=NBR;rgb=NIR%2FRED%2FGREEN;chipwidth=1;"), "landsat_chips")</f>
        <v>landsat_chips</v>
      </c>
      <c r="J272" s="8" t="str">
        <f>HYPERLINK(CONCATENATE("https://livingatlas.arcgis.com/wayback/#ext=-73.92869592764983,18.46225453439758,-73.92669592764982,18.460254534397578"), "wayback")</f>
        <v>wayback</v>
      </c>
      <c r="K272" s="2" t="s">
        <v>422</v>
      </c>
      <c r="L272" s="5"/>
      <c r="M272" s="5" t="s">
        <v>422</v>
      </c>
      <c r="N272" s="5"/>
    </row>
    <row r="273" spans="1:14" x14ac:dyDescent="0.35">
      <c r="A273" s="2">
        <v>272</v>
      </c>
      <c r="B273" s="2" t="s">
        <v>427</v>
      </c>
      <c r="C273" s="2" t="s">
        <v>704</v>
      </c>
      <c r="D273" s="2" t="s">
        <v>10</v>
      </c>
      <c r="E273" s="2">
        <v>214</v>
      </c>
      <c r="F273" s="2">
        <v>19.773802972060469</v>
      </c>
      <c r="G273" s="2">
        <v>-70.937421968916738</v>
      </c>
      <c r="H273" s="8" t="str">
        <f>HYPERLINK(CONCATENATE("https://faluhong.users.earthengine.app/view/hispaniola-lc-validation#id=PF272;lat=19.77380297206047;lon=-70.93742196891674;year=2000;bf=40;level=18;"), "landsat_time_series")</f>
        <v>landsat_time_series</v>
      </c>
      <c r="I273" s="8" t="str">
        <f>HYPERLINK(CONCATENATE("https://jstnbraaten.users.earthengine.app/view/landsat-timeseries-explorer#run=true;lon=-70.93742196891674;lat=19.77380297206047;from=01-01;to=12-31;index=NBR;rgb=NIR%2FRED%2FGREEN;chipwidth=1;"), "landsat_chips")</f>
        <v>landsat_chips</v>
      </c>
      <c r="J273" s="8" t="str">
        <f>HYPERLINK(CONCATENATE("https://livingatlas.arcgis.com/wayback/#ext=-70.93842196891674,19.77480297206047,-70.93642196891673,19.772802972060468"), "wayback")</f>
        <v>wayback</v>
      </c>
      <c r="K273" s="2" t="s">
        <v>422</v>
      </c>
      <c r="L273" s="5"/>
      <c r="M273" s="5" t="s">
        <v>422</v>
      </c>
      <c r="N273" s="5"/>
    </row>
    <row r="274" spans="1:14" x14ac:dyDescent="0.35">
      <c r="A274" s="2">
        <v>273</v>
      </c>
      <c r="B274" s="2" t="s">
        <v>427</v>
      </c>
      <c r="C274" s="2" t="s">
        <v>705</v>
      </c>
      <c r="D274" s="2" t="s">
        <v>10</v>
      </c>
      <c r="E274" s="2">
        <v>62</v>
      </c>
      <c r="F274" s="2">
        <v>18.4432198162209</v>
      </c>
      <c r="G274" s="2">
        <v>-70.020681853906567</v>
      </c>
      <c r="H274" s="8" t="str">
        <f>HYPERLINK(CONCATENATE("https://faluhong.users.earthengine.app/view/hispaniola-lc-validation#id=PF273;lat=18.443219816220903;lon=-70.02068185390657;year=2000;bf=40;level=18;"), "landsat_time_series")</f>
        <v>landsat_time_series</v>
      </c>
      <c r="I274" s="8" t="str">
        <f>HYPERLINK(CONCATENATE("https://jstnbraaten.users.earthengine.app/view/landsat-timeseries-explorer#run=true;lon=-70.02068185390657;lat=18.443219816220903;from=01-01;to=12-31;index=NBR;rgb=NIR%2FRED%2FGREEN;chipwidth=1;"), "landsat_chips")</f>
        <v>landsat_chips</v>
      </c>
      <c r="J274" s="8" t="str">
        <f>HYPERLINK(CONCATENATE("https://livingatlas.arcgis.com/wayback/#ext=-70.02168185390657,18.444219816220905,-70.01968185390656,18.442219816220902"), "wayback")</f>
        <v>wayback</v>
      </c>
      <c r="K274" s="2" t="s">
        <v>422</v>
      </c>
      <c r="L274" s="5"/>
      <c r="M274" s="5" t="s">
        <v>422</v>
      </c>
      <c r="N274" s="5"/>
    </row>
    <row r="275" spans="1:14" x14ac:dyDescent="0.35">
      <c r="A275" s="2">
        <v>274</v>
      </c>
      <c r="B275" s="2" t="s">
        <v>427</v>
      </c>
      <c r="C275" s="2" t="s">
        <v>706</v>
      </c>
      <c r="D275" s="2" t="s">
        <v>10</v>
      </c>
      <c r="E275" s="2">
        <v>-42</v>
      </c>
      <c r="F275" s="2">
        <v>18.474738617815319</v>
      </c>
      <c r="G275" s="2">
        <v>-71.56694418825532</v>
      </c>
      <c r="H275" s="8" t="str">
        <f>HYPERLINK(CONCATENATE("https://faluhong.users.earthengine.app/view/hispaniola-lc-validation#id=PF274;lat=18.47473861781532;lon=-71.56694418825532;year=2000;bf=40;level=18;"), "landsat_time_series")</f>
        <v>landsat_time_series</v>
      </c>
      <c r="I275" s="8" t="str">
        <f>HYPERLINK(CONCATENATE("https://jstnbraaten.users.earthengine.app/view/landsat-timeseries-explorer#run=true;lon=-71.56694418825532;lat=18.47473861781532;from=01-01;to=12-31;index=NBR;rgb=NIR%2FRED%2FGREEN;chipwidth=1;"), "landsat_chips")</f>
        <v>landsat_chips</v>
      </c>
      <c r="J275" s="8" t="str">
        <f>HYPERLINK(CONCATENATE("https://livingatlas.arcgis.com/wayback/#ext=-71.56794418825532,18.47573861781532,-71.56594418825532,18.473738617815318"), "wayback")</f>
        <v>wayback</v>
      </c>
      <c r="K275" s="2" t="s">
        <v>422</v>
      </c>
      <c r="L275" s="5"/>
      <c r="M275" s="5" t="s">
        <v>422</v>
      </c>
      <c r="N275" s="5"/>
    </row>
    <row r="276" spans="1:14" x14ac:dyDescent="0.35">
      <c r="A276" s="2">
        <v>275</v>
      </c>
      <c r="B276" s="2" t="s">
        <v>427</v>
      </c>
      <c r="C276" s="2" t="s">
        <v>707</v>
      </c>
      <c r="D276" s="2" t="s">
        <v>10</v>
      </c>
      <c r="E276" s="2">
        <v>140</v>
      </c>
      <c r="F276" s="2">
        <v>19.488885479587161</v>
      </c>
      <c r="G276" s="2">
        <v>-71.475732456874297</v>
      </c>
      <c r="H276" s="8" t="str">
        <f>HYPERLINK(CONCATENATE("https://faluhong.users.earthengine.app/view/hispaniola-lc-validation#id=PF275;lat=19.488885479587164;lon=-71.4757324568743;year=2000;bf=40;level=18;"), "landsat_time_series")</f>
        <v>landsat_time_series</v>
      </c>
      <c r="I276" s="8" t="str">
        <f>HYPERLINK(CONCATENATE("https://jstnbraaten.users.earthengine.app/view/landsat-timeseries-explorer#run=true;lon=-71.4757324568743;lat=19.488885479587164;from=01-01;to=12-31;index=NBR;rgb=NIR%2FRED%2FGREEN;chipwidth=1;"), "landsat_chips")</f>
        <v>landsat_chips</v>
      </c>
      <c r="J276" s="8" t="str">
        <f>HYPERLINK(CONCATENATE("https://livingatlas.arcgis.com/wayback/#ext=-71.4767324568743,19.489885479587166,-71.47473245687429,19.487885479587163"), "wayback")</f>
        <v>wayback</v>
      </c>
      <c r="K276" s="2" t="s">
        <v>422</v>
      </c>
      <c r="L276" s="5"/>
      <c r="M276" s="5" t="s">
        <v>422</v>
      </c>
      <c r="N276" s="5"/>
    </row>
    <row r="277" spans="1:14" x14ac:dyDescent="0.35">
      <c r="A277" s="2">
        <v>276</v>
      </c>
      <c r="B277" s="2" t="s">
        <v>427</v>
      </c>
      <c r="C277" s="2" t="s">
        <v>708</v>
      </c>
      <c r="D277" s="2" t="s">
        <v>20</v>
      </c>
      <c r="E277" s="2">
        <v>567</v>
      </c>
      <c r="F277" s="2">
        <v>18.9971963157118</v>
      </c>
      <c r="G277" s="2">
        <v>-72.478055105460598</v>
      </c>
      <c r="H277" s="8" t="str">
        <f>HYPERLINK(CONCATENATE("https://faluhong.users.earthengine.app/view/hispaniola-lc-validation#id=PF276;lat=18.9971963157118;lon=-72.4780551054606;year=2000;bf=40;level=18;"), "landsat_time_series")</f>
        <v>landsat_time_series</v>
      </c>
      <c r="I277" s="8" t="str">
        <f>HYPERLINK(CONCATENATE("https://jstnbraaten.users.earthengine.app/view/landsat-timeseries-explorer#run=true;lon=-72.4780551054606;lat=18.9971963157118;from=01-01;to=12-31;index=NBR;rgb=NIR%2FRED%2FGREEN;chipwidth=1;"), "landsat_chips")</f>
        <v>landsat_chips</v>
      </c>
      <c r="J277" s="8" t="str">
        <f>HYPERLINK(CONCATENATE("https://livingatlas.arcgis.com/wayback/#ext=-72.4790551054606,18.9981963157118,-72.4770551054606,18.9961963157118"), "wayback")</f>
        <v>wayback</v>
      </c>
      <c r="K277" s="2" t="s">
        <v>422</v>
      </c>
      <c r="L277" s="5"/>
      <c r="M277" s="5" t="s">
        <v>422</v>
      </c>
      <c r="N277" s="5"/>
    </row>
    <row r="278" spans="1:14" x14ac:dyDescent="0.35">
      <c r="A278" s="2">
        <v>277</v>
      </c>
      <c r="B278" s="2" t="s">
        <v>427</v>
      </c>
      <c r="C278" s="2" t="s">
        <v>709</v>
      </c>
      <c r="D278" s="2" t="s">
        <v>20</v>
      </c>
      <c r="E278" s="2">
        <v>351</v>
      </c>
      <c r="F278" s="2">
        <v>19.10354524239677</v>
      </c>
      <c r="G278" s="2">
        <v>-71.792396323961725</v>
      </c>
      <c r="H278" s="8" t="str">
        <f>HYPERLINK(CONCATENATE("https://faluhong.users.earthengine.app/view/hispaniola-lc-validation#id=PF277;lat=19.10354524239677;lon=-71.79239632396173;year=2000;bf=40;level=18;"), "landsat_time_series")</f>
        <v>landsat_time_series</v>
      </c>
      <c r="I278" s="8" t="str">
        <f>HYPERLINK(CONCATENATE("https://jstnbraaten.users.earthengine.app/view/landsat-timeseries-explorer#run=true;lon=-71.79239632396173;lat=19.10354524239677;from=01-01;to=12-31;index=NBR;rgb=NIR%2FRED%2FGREEN;chipwidth=1;"), "landsat_chips")</f>
        <v>landsat_chips</v>
      </c>
      <c r="J278" s="8" t="str">
        <f>HYPERLINK(CONCATENATE("https://livingatlas.arcgis.com/wayback/#ext=-71.79339632396173,19.10454524239677,-71.79139632396172,19.10254524239677"), "wayback")</f>
        <v>wayback</v>
      </c>
      <c r="K278" s="2" t="s">
        <v>422</v>
      </c>
      <c r="L278" s="5"/>
      <c r="M278" s="5" t="s">
        <v>422</v>
      </c>
      <c r="N278" s="5"/>
    </row>
    <row r="279" spans="1:14" x14ac:dyDescent="0.35">
      <c r="A279" s="2">
        <v>278</v>
      </c>
      <c r="B279" s="2" t="s">
        <v>427</v>
      </c>
      <c r="C279" s="2" t="s">
        <v>710</v>
      </c>
      <c r="D279" s="2" t="s">
        <v>20</v>
      </c>
      <c r="E279" s="2">
        <v>541</v>
      </c>
      <c r="F279" s="2">
        <v>19.720086269196749</v>
      </c>
      <c r="G279" s="2">
        <v>-72.972699450396689</v>
      </c>
      <c r="H279" s="8" t="str">
        <f>HYPERLINK(CONCATENATE("https://faluhong.users.earthengine.app/view/hispaniola-lc-validation#id=PF278;lat=19.720086269196745;lon=-72.97269945039669;year=2000;bf=40;level=18;"), "landsat_time_series")</f>
        <v>landsat_time_series</v>
      </c>
      <c r="I279" s="8" t="str">
        <f>HYPERLINK(CONCATENATE("https://jstnbraaten.users.earthengine.app/view/landsat-timeseries-explorer#run=true;lon=-72.97269945039669;lat=19.720086269196745;from=01-01;to=12-31;index=NBR;rgb=NIR%2FRED%2FGREEN;chipwidth=1;"), "landsat_chips")</f>
        <v>landsat_chips</v>
      </c>
      <c r="J279" s="8" t="str">
        <f>HYPERLINK(CONCATENATE("https://livingatlas.arcgis.com/wayback/#ext=-72.9736994503967,19.721086269196746,-72.97169945039668,19.719086269196744"), "wayback")</f>
        <v>wayback</v>
      </c>
      <c r="K279" s="2" t="s">
        <v>422</v>
      </c>
      <c r="L279" s="5"/>
      <c r="M279" s="5" t="s">
        <v>422</v>
      </c>
      <c r="N279" s="5"/>
    </row>
    <row r="280" spans="1:14" x14ac:dyDescent="0.35">
      <c r="A280" s="2">
        <v>279</v>
      </c>
      <c r="B280" s="2" t="s">
        <v>427</v>
      </c>
      <c r="C280" s="2" t="s">
        <v>711</v>
      </c>
      <c r="D280" s="2" t="s">
        <v>20</v>
      </c>
      <c r="E280" s="2">
        <v>855</v>
      </c>
      <c r="F280" s="2">
        <v>19.250268886240839</v>
      </c>
      <c r="G280" s="2">
        <v>-71.781887772080907</v>
      </c>
      <c r="H280" s="8" t="str">
        <f>HYPERLINK(CONCATENATE("https://faluhong.users.earthengine.app/view/hispaniola-lc-validation#id=PF279;lat=19.250268886240843;lon=-71.7818877720809;year=2000;bf=40;level=18;"), "landsat_time_series")</f>
        <v>landsat_time_series</v>
      </c>
      <c r="I280" s="8" t="str">
        <f>HYPERLINK(CONCATENATE("https://jstnbraaten.users.earthengine.app/view/landsat-timeseries-explorer#run=true;lon=-71.7818877720809;lat=19.250268886240843;from=01-01;to=12-31;index=NBR;rgb=NIR%2FRED%2FGREEN;chipwidth=1;"), "landsat_chips")</f>
        <v>landsat_chips</v>
      </c>
      <c r="J280" s="8" t="str">
        <f>HYPERLINK(CONCATENATE("https://livingatlas.arcgis.com/wayback/#ext=-71.78288777208091,19.251268886240844,-71.7808877720809,19.24926888624084"), "wayback")</f>
        <v>wayback</v>
      </c>
      <c r="K280" s="2" t="s">
        <v>422</v>
      </c>
      <c r="L280" s="5"/>
      <c r="M280" s="5" t="s">
        <v>422</v>
      </c>
      <c r="N280" s="5"/>
    </row>
    <row r="281" spans="1:14" x14ac:dyDescent="0.35">
      <c r="A281" s="2">
        <v>280</v>
      </c>
      <c r="B281" s="2" t="s">
        <v>427</v>
      </c>
      <c r="C281" s="2" t="s">
        <v>712</v>
      </c>
      <c r="D281" s="2" t="s">
        <v>10</v>
      </c>
      <c r="E281" s="2">
        <v>37</v>
      </c>
      <c r="F281" s="2">
        <v>18.946919776860121</v>
      </c>
      <c r="G281" s="2">
        <v>-68.850361266674085</v>
      </c>
      <c r="H281" s="8" t="str">
        <f>HYPERLINK(CONCATENATE("https://faluhong.users.earthengine.app/view/hispaniola-lc-validation#id=PF280;lat=18.946919776860124;lon=-68.85036126667408;year=2000;bf=40;level=18;"), "landsat_time_series")</f>
        <v>landsat_time_series</v>
      </c>
      <c r="I281" s="8" t="str">
        <f>HYPERLINK(CONCATENATE("https://jstnbraaten.users.earthengine.app/view/landsat-timeseries-explorer#run=true;lon=-68.85036126667408;lat=18.946919776860124;from=01-01;to=12-31;index=NBR;rgb=NIR%2FRED%2FGREEN;chipwidth=1;"), "landsat_chips")</f>
        <v>landsat_chips</v>
      </c>
      <c r="J281" s="8" t="str">
        <f>HYPERLINK(CONCATENATE("https://livingatlas.arcgis.com/wayback/#ext=-68.85136126667409,18.947919776860125,-68.84936126667408,18.945919776860123"), "wayback")</f>
        <v>wayback</v>
      </c>
      <c r="K281" s="2" t="s">
        <v>422</v>
      </c>
      <c r="L281" s="5"/>
      <c r="M281" s="5" t="s">
        <v>422</v>
      </c>
      <c r="N281" s="5"/>
    </row>
    <row r="282" spans="1:14" x14ac:dyDescent="0.35">
      <c r="A282" s="2">
        <v>281</v>
      </c>
      <c r="B282" s="2" t="s">
        <v>427</v>
      </c>
      <c r="C282" s="2" t="s">
        <v>713</v>
      </c>
      <c r="D282" s="2" t="s">
        <v>20</v>
      </c>
      <c r="E282" s="2">
        <v>1095</v>
      </c>
      <c r="F282" s="2">
        <v>18.4089863043646</v>
      </c>
      <c r="G282" s="2">
        <v>-72.31604667929021</v>
      </c>
      <c r="H282" s="8" t="str">
        <f>HYPERLINK(CONCATENATE("https://faluhong.users.earthengine.app/view/hispaniola-lc-validation#id=PF281;lat=18.4089863043646;lon=-72.31604667929021;year=2000;bf=40;level=18;"), "landsat_time_series")</f>
        <v>landsat_time_series</v>
      </c>
      <c r="I282" s="8" t="str">
        <f>HYPERLINK(CONCATENATE("https://jstnbraaten.users.earthengine.app/view/landsat-timeseries-explorer#run=true;lon=-72.31604667929021;lat=18.4089863043646;from=01-01;to=12-31;index=NBR;rgb=NIR%2FRED%2FGREEN;chipwidth=1;"), "landsat_chips")</f>
        <v>landsat_chips</v>
      </c>
      <c r="J282" s="8" t="str">
        <f>HYPERLINK(CONCATENATE("https://livingatlas.arcgis.com/wayback/#ext=-72.31704667929021,18.4099863043646,-72.3150466792902,18.4079863043646"), "wayback")</f>
        <v>wayback</v>
      </c>
      <c r="K282" s="2" t="s">
        <v>422</v>
      </c>
      <c r="L282" s="5"/>
      <c r="M282" s="5" t="s">
        <v>422</v>
      </c>
      <c r="N282" s="5"/>
    </row>
    <row r="283" spans="1:14" x14ac:dyDescent="0.35">
      <c r="A283" s="2">
        <v>282</v>
      </c>
      <c r="B283" s="2" t="s">
        <v>427</v>
      </c>
      <c r="C283" s="2" t="s">
        <v>714</v>
      </c>
      <c r="D283" s="2" t="s">
        <v>20</v>
      </c>
      <c r="E283" s="2">
        <v>46</v>
      </c>
      <c r="F283" s="2">
        <v>18.462548317729979</v>
      </c>
      <c r="G283" s="2">
        <v>-72.614713955614135</v>
      </c>
      <c r="H283" s="8" t="str">
        <f>HYPERLINK(CONCATENATE("https://faluhong.users.earthengine.app/view/hispaniola-lc-validation#id=PF282;lat=18.462548317729976;lon=-72.61471395561414;year=2000;bf=40;level=18;"), "landsat_time_series")</f>
        <v>landsat_time_series</v>
      </c>
      <c r="I283" s="8" t="str">
        <f>HYPERLINK(CONCATENATE("https://jstnbraaten.users.earthengine.app/view/landsat-timeseries-explorer#run=true;lon=-72.61471395561414;lat=18.462548317729976;from=01-01;to=12-31;index=NBR;rgb=NIR%2FRED%2FGREEN;chipwidth=1;"), "landsat_chips")</f>
        <v>landsat_chips</v>
      </c>
      <c r="J283" s="8" t="str">
        <f>HYPERLINK(CONCATENATE("https://livingatlas.arcgis.com/wayback/#ext=-72.61571395561414,18.463548317729977,-72.61371395561413,18.461548317729974"), "wayback")</f>
        <v>wayback</v>
      </c>
      <c r="K283" s="2" t="s">
        <v>422</v>
      </c>
      <c r="L283" s="5"/>
      <c r="M283" s="5" t="s">
        <v>422</v>
      </c>
      <c r="N283" s="5"/>
    </row>
    <row r="284" spans="1:14" x14ac:dyDescent="0.35">
      <c r="A284" s="2">
        <v>283</v>
      </c>
      <c r="B284" s="2" t="s">
        <v>427</v>
      </c>
      <c r="C284" s="2" t="s">
        <v>715</v>
      </c>
      <c r="D284" s="2" t="s">
        <v>10</v>
      </c>
      <c r="E284" s="2">
        <v>1718</v>
      </c>
      <c r="F284" s="2">
        <v>18.933439351581509</v>
      </c>
      <c r="G284" s="2">
        <v>-70.906056570143477</v>
      </c>
      <c r="H284" s="8" t="str">
        <f>HYPERLINK(CONCATENATE("https://faluhong.users.earthengine.app/view/hispaniola-lc-validation#id=PF283;lat=18.933439351581512;lon=-70.90605657014348;year=2000;bf=40;level=18;"), "landsat_time_series")</f>
        <v>landsat_time_series</v>
      </c>
      <c r="I284" s="8" t="str">
        <f>HYPERLINK(CONCATENATE("https://jstnbraaten.users.earthengine.app/view/landsat-timeseries-explorer#run=true;lon=-70.90605657014348;lat=18.933439351581512;from=01-01;to=12-31;index=NBR;rgb=NIR%2FRED%2FGREEN;chipwidth=1;"), "landsat_chips")</f>
        <v>landsat_chips</v>
      </c>
      <c r="J284" s="8" t="str">
        <f>HYPERLINK(CONCATENATE("https://livingatlas.arcgis.com/wayback/#ext=-70.90705657014348,18.934439351581513,-70.90505657014347,18.93243935158151"), "wayback")</f>
        <v>wayback</v>
      </c>
      <c r="K284" s="2" t="s">
        <v>418</v>
      </c>
      <c r="L284" s="5"/>
      <c r="M284" s="5" t="s">
        <v>418</v>
      </c>
      <c r="N284" s="5" t="s">
        <v>419</v>
      </c>
    </row>
    <row r="285" spans="1:14" x14ac:dyDescent="0.35">
      <c r="A285" s="2">
        <v>284</v>
      </c>
      <c r="B285" s="2" t="s">
        <v>427</v>
      </c>
      <c r="C285" s="2" t="s">
        <v>716</v>
      </c>
      <c r="D285" s="2" t="s">
        <v>10</v>
      </c>
      <c r="E285" s="2">
        <v>401</v>
      </c>
      <c r="F285" s="2">
        <v>18.732645273842731</v>
      </c>
      <c r="G285" s="2">
        <v>-71.000602642532144</v>
      </c>
      <c r="H285" s="8" t="str">
        <f>HYPERLINK(CONCATENATE("https://faluhong.users.earthengine.app/view/hispaniola-lc-validation#id=PF284;lat=18.732645273842728;lon=-71.00060264253214;year=2000;bf=40;level=18;"), "landsat_time_series")</f>
        <v>landsat_time_series</v>
      </c>
      <c r="I285" s="8" t="str">
        <f>HYPERLINK(CONCATENATE("https://jstnbraaten.users.earthengine.app/view/landsat-timeseries-explorer#run=true;lon=-71.00060264253214;lat=18.732645273842728;from=01-01;to=12-31;index=NBR;rgb=NIR%2FRED%2FGREEN;chipwidth=1;"), "landsat_chips")</f>
        <v>landsat_chips</v>
      </c>
      <c r="J285" s="8" t="str">
        <f>HYPERLINK(CONCATENATE("https://livingatlas.arcgis.com/wayback/#ext=-71.00160264253215,18.73364527384273,-70.99960264253214,18.731645273842727"), "wayback")</f>
        <v>wayback</v>
      </c>
      <c r="K285" s="2" t="s">
        <v>422</v>
      </c>
      <c r="L285" s="5"/>
      <c r="M285" s="5" t="s">
        <v>422</v>
      </c>
      <c r="N285" s="5"/>
    </row>
    <row r="286" spans="1:14" x14ac:dyDescent="0.35">
      <c r="A286" s="2">
        <v>285</v>
      </c>
      <c r="B286" s="2" t="s">
        <v>427</v>
      </c>
      <c r="C286" s="2" t="s">
        <v>717</v>
      </c>
      <c r="D286" s="2" t="s">
        <v>10</v>
      </c>
      <c r="E286" s="2">
        <v>21</v>
      </c>
      <c r="F286" s="2">
        <v>18.342050587530188</v>
      </c>
      <c r="G286" s="2">
        <v>-71.261274489976543</v>
      </c>
      <c r="H286" s="8" t="str">
        <f>HYPERLINK(CONCATENATE("https://faluhong.users.earthengine.app/view/hispaniola-lc-validation#id=PF285;lat=18.342050587530192;lon=-71.26127448997654;year=2000;bf=40;level=18;"), "landsat_time_series")</f>
        <v>landsat_time_series</v>
      </c>
      <c r="I286" s="8" t="str">
        <f>HYPERLINK(CONCATENATE("https://jstnbraaten.users.earthengine.app/view/landsat-timeseries-explorer#run=true;lon=-71.26127448997654;lat=18.342050587530192;from=01-01;to=12-31;index=NBR;rgb=NIR%2FRED%2FGREEN;chipwidth=1;"), "landsat_chips")</f>
        <v>landsat_chips</v>
      </c>
      <c r="J286" s="8" t="str">
        <f>HYPERLINK(CONCATENATE("https://livingatlas.arcgis.com/wayback/#ext=-71.26227448997655,18.343050587530193,-71.26027448997654,18.34105058753019"), "wayback")</f>
        <v>wayback</v>
      </c>
      <c r="K286" s="2" t="s">
        <v>422</v>
      </c>
      <c r="L286" s="5"/>
      <c r="M286" s="5" t="s">
        <v>422</v>
      </c>
      <c r="N286" s="5"/>
    </row>
    <row r="287" spans="1:14" x14ac:dyDescent="0.35">
      <c r="A287" s="2">
        <v>286</v>
      </c>
      <c r="B287" s="2" t="s">
        <v>427</v>
      </c>
      <c r="C287" s="2" t="s">
        <v>718</v>
      </c>
      <c r="D287" s="2" t="s">
        <v>10</v>
      </c>
      <c r="E287" s="2">
        <v>136</v>
      </c>
      <c r="F287" s="2">
        <v>18.74995593042064</v>
      </c>
      <c r="G287" s="2">
        <v>-68.923495597108428</v>
      </c>
      <c r="H287" s="8" t="str">
        <f>HYPERLINK(CONCATENATE("https://faluhong.users.earthengine.app/view/hispaniola-lc-validation#id=PF286;lat=18.749955930420644;lon=-68.92349559710843;year=2000;bf=40;level=18;"), "landsat_time_series")</f>
        <v>landsat_time_series</v>
      </c>
      <c r="I287" s="8" t="str">
        <f>HYPERLINK(CONCATENATE("https://jstnbraaten.users.earthengine.app/view/landsat-timeseries-explorer#run=true;lon=-68.92349559710843;lat=18.749955930420644;from=01-01;to=12-31;index=NBR;rgb=NIR%2FRED%2FGREEN;chipwidth=1;"), "landsat_chips")</f>
        <v>landsat_chips</v>
      </c>
      <c r="J287" s="8" t="str">
        <f>HYPERLINK(CONCATENATE("https://livingatlas.arcgis.com/wayback/#ext=-68.92449559710843,18.750955930420645,-68.92249559710842,18.748955930420642"), "wayback")</f>
        <v>wayback</v>
      </c>
      <c r="K287" s="2" t="s">
        <v>422</v>
      </c>
      <c r="L287" s="5"/>
      <c r="M287" s="5" t="s">
        <v>422</v>
      </c>
      <c r="N287" s="5"/>
    </row>
    <row r="288" spans="1:14" x14ac:dyDescent="0.35">
      <c r="A288" s="2">
        <v>287</v>
      </c>
      <c r="B288" s="2" t="s">
        <v>427</v>
      </c>
      <c r="C288" s="2" t="s">
        <v>719</v>
      </c>
      <c r="D288" s="2" t="s">
        <v>20</v>
      </c>
      <c r="E288" s="2">
        <v>25</v>
      </c>
      <c r="F288" s="2">
        <v>19.68370637212719</v>
      </c>
      <c r="G288" s="2">
        <v>-71.778397519179165</v>
      </c>
      <c r="H288" s="8" t="str">
        <f>HYPERLINK(CONCATENATE("https://faluhong.users.earthengine.app/view/hispaniola-lc-validation#id=PF287;lat=19.683706372127187;lon=-71.77839751917917;year=2000;bf=40;level=18;"), "landsat_time_series")</f>
        <v>landsat_time_series</v>
      </c>
      <c r="I288" s="8" t="str">
        <f>HYPERLINK(CONCATENATE("https://jstnbraaten.users.earthengine.app/view/landsat-timeseries-explorer#run=true;lon=-71.77839751917917;lat=19.683706372127187;from=01-01;to=12-31;index=NBR;rgb=NIR%2FRED%2FGREEN;chipwidth=1;"), "landsat_chips")</f>
        <v>landsat_chips</v>
      </c>
      <c r="J288" s="8" t="str">
        <f>HYPERLINK(CONCATENATE("https://livingatlas.arcgis.com/wayback/#ext=-71.77939751917917,19.684706372127188,-71.77739751917916,19.682706372127186"), "wayback")</f>
        <v>wayback</v>
      </c>
      <c r="K288" s="2" t="s">
        <v>422</v>
      </c>
      <c r="L288" s="5"/>
      <c r="M288" s="5" t="s">
        <v>422</v>
      </c>
      <c r="N288" s="5"/>
    </row>
    <row r="289" spans="1:14" x14ac:dyDescent="0.35">
      <c r="A289" s="2">
        <v>288</v>
      </c>
      <c r="B289" s="2" t="s">
        <v>427</v>
      </c>
      <c r="C289" s="2" t="s">
        <v>720</v>
      </c>
      <c r="D289" s="2" t="s">
        <v>10</v>
      </c>
      <c r="E289" s="2">
        <v>1307</v>
      </c>
      <c r="F289" s="2">
        <v>18.645471754682291</v>
      </c>
      <c r="G289" s="2">
        <v>-70.337985946092644</v>
      </c>
      <c r="H289" s="8" t="str">
        <f>HYPERLINK(CONCATENATE("https://faluhong.users.earthengine.app/view/hispaniola-lc-validation#id=PF288;lat=18.645471754682287;lon=-70.33798594609264;year=2000;bf=40;level=18;"), "landsat_time_series")</f>
        <v>landsat_time_series</v>
      </c>
      <c r="I289" s="8" t="str">
        <f>HYPERLINK(CONCATENATE("https://jstnbraaten.users.earthengine.app/view/landsat-timeseries-explorer#run=true;lon=-70.33798594609264;lat=18.645471754682287;from=01-01;to=12-31;index=NBR;rgb=NIR%2FRED%2FGREEN;chipwidth=1;"), "landsat_chips")</f>
        <v>landsat_chips</v>
      </c>
      <c r="J289" s="8" t="str">
        <f>HYPERLINK(CONCATENATE("https://livingatlas.arcgis.com/wayback/#ext=-70.33898594609265,18.64647175468229,-70.33698594609264,18.644471754682286"), "wayback")</f>
        <v>wayback</v>
      </c>
      <c r="K289" s="2" t="s">
        <v>422</v>
      </c>
      <c r="L289" s="5"/>
      <c r="M289" s="5" t="s">
        <v>422</v>
      </c>
      <c r="N289" s="5"/>
    </row>
    <row r="290" spans="1:14" x14ac:dyDescent="0.35">
      <c r="A290" s="2">
        <v>289</v>
      </c>
      <c r="B290" s="2" t="s">
        <v>427</v>
      </c>
      <c r="C290" s="2" t="s">
        <v>721</v>
      </c>
      <c r="D290" s="2" t="s">
        <v>10</v>
      </c>
      <c r="E290" s="2">
        <v>809</v>
      </c>
      <c r="F290" s="2">
        <v>18.820902400960811</v>
      </c>
      <c r="G290" s="2">
        <v>-70.421319392430462</v>
      </c>
      <c r="H290" s="8" t="str">
        <f>HYPERLINK(CONCATENATE("https://faluhong.users.earthengine.app/view/hispaniola-lc-validation#id=PF289;lat=18.820902400960808;lon=-70.42131939243046;year=2000;bf=40;level=18;"), "landsat_time_series")</f>
        <v>landsat_time_series</v>
      </c>
      <c r="I290" s="8" t="str">
        <f>HYPERLINK(CONCATENATE("https://jstnbraaten.users.earthengine.app/view/landsat-timeseries-explorer#run=true;lon=-70.42131939243046;lat=18.820902400960808;from=01-01;to=12-31;index=NBR;rgb=NIR%2FRED%2FGREEN;chipwidth=1;"), "landsat_chips")</f>
        <v>landsat_chips</v>
      </c>
      <c r="J290" s="8" t="str">
        <f>HYPERLINK(CONCATENATE("https://livingatlas.arcgis.com/wayback/#ext=-70.42231939243047,18.82190240096081,-70.42031939243046,18.819902400960807"), "wayback")</f>
        <v>wayback</v>
      </c>
      <c r="K290" s="2" t="s">
        <v>422</v>
      </c>
      <c r="L290" s="5"/>
      <c r="M290" s="5" t="s">
        <v>422</v>
      </c>
      <c r="N290" s="5"/>
    </row>
    <row r="291" spans="1:14" x14ac:dyDescent="0.35">
      <c r="A291" s="2">
        <v>290</v>
      </c>
      <c r="B291" s="2" t="s">
        <v>427</v>
      </c>
      <c r="C291" s="2" t="s">
        <v>722</v>
      </c>
      <c r="D291" s="2" t="s">
        <v>20</v>
      </c>
      <c r="E291" s="2">
        <v>86</v>
      </c>
      <c r="F291" s="2">
        <v>19.121919511958701</v>
      </c>
      <c r="G291" s="2">
        <v>-72.432034911685221</v>
      </c>
      <c r="H291" s="8" t="str">
        <f>HYPERLINK(CONCATENATE("https://faluhong.users.earthengine.app/view/hispaniola-lc-validation#id=PF290;lat=19.121919511958705;lon=-72.43203491168522;year=2000;bf=40;level=18;"), "landsat_time_series")</f>
        <v>landsat_time_series</v>
      </c>
      <c r="I291" s="8" t="str">
        <f>HYPERLINK(CONCATENATE("https://jstnbraaten.users.earthengine.app/view/landsat-timeseries-explorer#run=true;lon=-72.43203491168522;lat=19.121919511958705;from=01-01;to=12-31;index=NBR;rgb=NIR%2FRED%2FGREEN;chipwidth=1;"), "landsat_chips")</f>
        <v>landsat_chips</v>
      </c>
      <c r="J291" s="8" t="str">
        <f>HYPERLINK(CONCATENATE("https://livingatlas.arcgis.com/wayback/#ext=-72.43303491168523,19.122919511958706,-72.43103491168522,19.120919511958704"), "wayback")</f>
        <v>wayback</v>
      </c>
      <c r="K291" s="2" t="s">
        <v>422</v>
      </c>
      <c r="L291" s="5"/>
      <c r="M291" s="5" t="s">
        <v>422</v>
      </c>
      <c r="N291" s="5"/>
    </row>
    <row r="292" spans="1:14" x14ac:dyDescent="0.35">
      <c r="A292" s="2">
        <v>291</v>
      </c>
      <c r="B292" s="2" t="s">
        <v>428</v>
      </c>
      <c r="C292" s="2" t="s">
        <v>723</v>
      </c>
      <c r="D292" s="2" t="s">
        <v>10</v>
      </c>
      <c r="E292" s="2">
        <v>1251</v>
      </c>
      <c r="F292" s="2">
        <v>18.107904045663791</v>
      </c>
      <c r="G292" s="2">
        <v>-71.543075891131579</v>
      </c>
      <c r="H292" s="8" t="str">
        <f>HYPERLINK(CONCATENATE("https://faluhong.users.earthengine.app/view/hispaniola-lc-validation#id=PF291;lat=18.10790404566379;lon=-71.54307589113158;year=2000;bf=40;level=18;"), "landsat_time_series")</f>
        <v>landsat_time_series</v>
      </c>
      <c r="I292" s="8" t="str">
        <f>HYPERLINK(CONCATENATE("https://jstnbraaten.users.earthengine.app/view/landsat-timeseries-explorer#run=true;lon=-71.54307589113158;lat=18.10790404566379;from=01-01;to=12-31;index=NBR;rgb=NIR%2FRED%2FGREEN;chipwidth=1;"), "landsat_chips")</f>
        <v>landsat_chips</v>
      </c>
      <c r="J292" s="8" t="str">
        <f>HYPERLINK(CONCATENATE("https://livingatlas.arcgis.com/wayback/#ext=-71.54407589113158,18.10890404566379,-71.54207589113157,18.10690404566379"), "wayback")</f>
        <v>wayback</v>
      </c>
      <c r="K292" s="2" t="s">
        <v>418</v>
      </c>
      <c r="L292" s="5"/>
      <c r="M292" s="5" t="s">
        <v>422</v>
      </c>
      <c r="N292" s="5"/>
    </row>
    <row r="293" spans="1:14" x14ac:dyDescent="0.35">
      <c r="A293" s="2">
        <v>292</v>
      </c>
      <c r="B293" s="2" t="s">
        <v>428</v>
      </c>
      <c r="C293" s="2" t="s">
        <v>724</v>
      </c>
      <c r="D293" s="2" t="s">
        <v>10</v>
      </c>
      <c r="E293" s="2">
        <v>852</v>
      </c>
      <c r="F293" s="2">
        <v>18.902801114802848</v>
      </c>
      <c r="G293" s="2">
        <v>-70.483607552551206</v>
      </c>
      <c r="H293" s="8" t="str">
        <f>HYPERLINK(CONCATENATE("https://faluhong.users.earthengine.app/view/hispaniola-lc-validation#id=PF292;lat=18.90280111480285;lon=-70.4836075525512;year=2000;bf=40;level=18;"), "landsat_time_series")</f>
        <v>landsat_time_series</v>
      </c>
      <c r="I293" s="8" t="str">
        <f>HYPERLINK(CONCATENATE("https://jstnbraaten.users.earthengine.app/view/landsat-timeseries-explorer#run=true;lon=-70.4836075525512;lat=18.90280111480285;from=01-01;to=12-31;index=NBR;rgb=NIR%2FRED%2FGREEN;chipwidth=1;"), "landsat_chips")</f>
        <v>landsat_chips</v>
      </c>
      <c r="J293" s="8" t="str">
        <f>HYPERLINK(CONCATENATE("https://livingatlas.arcgis.com/wayback/#ext=-70.48460755255121,18.90380111480285,-70.4826075525512,18.901801114802847"), "wayback")</f>
        <v>wayback</v>
      </c>
      <c r="K293" s="2" t="s">
        <v>422</v>
      </c>
      <c r="L293" s="5"/>
      <c r="M293" s="5" t="s">
        <v>422</v>
      </c>
      <c r="N293" s="5"/>
    </row>
    <row r="294" spans="1:14" x14ac:dyDescent="0.35">
      <c r="A294" s="2">
        <v>293</v>
      </c>
      <c r="B294" s="2" t="s">
        <v>428</v>
      </c>
      <c r="C294" s="2" t="s">
        <v>725</v>
      </c>
      <c r="D294" s="2" t="s">
        <v>10</v>
      </c>
      <c r="E294" s="2">
        <v>40</v>
      </c>
      <c r="F294" s="2">
        <v>19.306765069861122</v>
      </c>
      <c r="G294" s="2">
        <v>-69.416513777065745</v>
      </c>
      <c r="H294" s="8" t="str">
        <f>HYPERLINK(CONCATENATE("https://faluhong.users.earthengine.app/view/hispaniola-lc-validation#id=PF293;lat=19.306765069861118;lon=-69.41651377706575;year=2000;bf=40;level=18;"), "landsat_time_series")</f>
        <v>landsat_time_series</v>
      </c>
      <c r="I294" s="8" t="str">
        <f>HYPERLINK(CONCATENATE("https://jstnbraaten.users.earthengine.app/view/landsat-timeseries-explorer#run=true;lon=-69.41651377706575;lat=19.306765069861118;from=01-01;to=12-31;index=NBR;rgb=NIR%2FRED%2FGREEN;chipwidth=1;"), "landsat_chips")</f>
        <v>landsat_chips</v>
      </c>
      <c r="J294" s="8" t="str">
        <f>HYPERLINK(CONCATENATE("https://livingatlas.arcgis.com/wayback/#ext=-69.41751377706575,19.30776506986112,-69.41551377706574,19.305765069861117"), "wayback")</f>
        <v>wayback</v>
      </c>
      <c r="K294" s="2" t="s">
        <v>422</v>
      </c>
      <c r="L294" s="5"/>
      <c r="M294" s="5" t="s">
        <v>422</v>
      </c>
      <c r="N294" s="5"/>
    </row>
    <row r="295" spans="1:14" x14ac:dyDescent="0.35">
      <c r="A295" s="2">
        <v>294</v>
      </c>
      <c r="B295" s="2" t="s">
        <v>428</v>
      </c>
      <c r="C295" s="2" t="s">
        <v>726</v>
      </c>
      <c r="D295" s="2" t="s">
        <v>10</v>
      </c>
      <c r="E295" s="2">
        <v>295</v>
      </c>
      <c r="F295" s="2">
        <v>19.608460143394449</v>
      </c>
      <c r="G295" s="2">
        <v>-69.990707260585992</v>
      </c>
      <c r="H295" s="8" t="str">
        <f>HYPERLINK(CONCATENATE("https://faluhong.users.earthengine.app/view/hispaniola-lc-validation#id=PF294;lat=19.608460143394446;lon=-69.99070726058599;year=2000;bf=40;level=18;"), "landsat_time_series")</f>
        <v>landsat_time_series</v>
      </c>
      <c r="I295" s="8" t="str">
        <f>HYPERLINK(CONCATENATE("https://jstnbraaten.users.earthengine.app/view/landsat-timeseries-explorer#run=true;lon=-69.99070726058599;lat=19.608460143394446;from=01-01;to=12-31;index=NBR;rgb=NIR%2FRED%2FGREEN;chipwidth=1;"), "landsat_chips")</f>
        <v>landsat_chips</v>
      </c>
      <c r="J295" s="8" t="str">
        <f>HYPERLINK(CONCATENATE("https://livingatlas.arcgis.com/wayback/#ext=-69.991707260586,19.609460143394447,-69.98970726058599,19.607460143394444"), "wayback")</f>
        <v>wayback</v>
      </c>
      <c r="K295" s="2" t="s">
        <v>422</v>
      </c>
      <c r="L295" s="5"/>
      <c r="M295" s="5" t="s">
        <v>422</v>
      </c>
      <c r="N295" s="5"/>
    </row>
    <row r="296" spans="1:14" x14ac:dyDescent="0.35">
      <c r="A296" s="2">
        <v>295</v>
      </c>
      <c r="B296" s="2" t="s">
        <v>428</v>
      </c>
      <c r="C296" s="2" t="s">
        <v>727</v>
      </c>
      <c r="D296" s="2" t="s">
        <v>10</v>
      </c>
      <c r="E296" s="2">
        <v>809</v>
      </c>
      <c r="F296" s="2">
        <v>18.304100633914441</v>
      </c>
      <c r="G296" s="2">
        <v>-71.507385369288883</v>
      </c>
      <c r="H296" s="8" t="str">
        <f>HYPERLINK(CONCATENATE("https://faluhong.users.earthengine.app/view/hispaniola-lc-validation#id=PF295;lat=18.30410063391444;lon=-71.50738536928888;year=2000;bf=40;level=18;"), "landsat_time_series")</f>
        <v>landsat_time_series</v>
      </c>
      <c r="I296" s="8" t="str">
        <f>HYPERLINK(CONCATENATE("https://jstnbraaten.users.earthengine.app/view/landsat-timeseries-explorer#run=true;lon=-71.50738536928888;lat=18.30410063391444;from=01-01;to=12-31;index=NBR;rgb=NIR%2FRED%2FGREEN;chipwidth=1;"), "landsat_chips")</f>
        <v>landsat_chips</v>
      </c>
      <c r="J296" s="8" t="str">
        <f>HYPERLINK(CONCATENATE("https://livingatlas.arcgis.com/wayback/#ext=-71.50838536928889,18.305100633914442,-71.50638536928888,18.30310063391444"), "wayback")</f>
        <v>wayback</v>
      </c>
      <c r="K296" s="2" t="s">
        <v>422</v>
      </c>
      <c r="L296" s="5"/>
      <c r="M296" s="5" t="s">
        <v>422</v>
      </c>
      <c r="N296" s="5"/>
    </row>
    <row r="297" spans="1:14" x14ac:dyDescent="0.35">
      <c r="A297" s="2">
        <v>296</v>
      </c>
      <c r="B297" s="2" t="s">
        <v>428</v>
      </c>
      <c r="C297" s="2" t="s">
        <v>728</v>
      </c>
      <c r="D297" s="2" t="s">
        <v>10</v>
      </c>
      <c r="E297" s="2">
        <v>425</v>
      </c>
      <c r="F297" s="2">
        <v>18.553942396109939</v>
      </c>
      <c r="G297" s="2">
        <v>-71.011194303945615</v>
      </c>
      <c r="H297" s="8" t="str">
        <f>HYPERLINK(CONCATENATE("https://faluhong.users.earthengine.app/view/hispaniola-lc-validation#id=PF296;lat=18.553942396109935;lon=-71.01119430394562;year=2000;bf=40;level=18;"), "landsat_time_series")</f>
        <v>landsat_time_series</v>
      </c>
      <c r="I297" s="8" t="str">
        <f>HYPERLINK(CONCATENATE("https://jstnbraaten.users.earthengine.app/view/landsat-timeseries-explorer#run=true;lon=-71.01119430394562;lat=18.553942396109935;from=01-01;to=12-31;index=NBR;rgb=NIR%2FRED%2FGREEN;chipwidth=1;"), "landsat_chips")</f>
        <v>landsat_chips</v>
      </c>
      <c r="J297" s="8" t="str">
        <f>HYPERLINK(CONCATENATE("https://livingatlas.arcgis.com/wayback/#ext=-71.01219430394562,18.554942396109936,-71.01019430394561,18.552942396109934"), "wayback")</f>
        <v>wayback</v>
      </c>
      <c r="K297" s="2" t="s">
        <v>422</v>
      </c>
      <c r="L297" s="5"/>
      <c r="M297" s="5" t="s">
        <v>422</v>
      </c>
      <c r="N297" s="5"/>
    </row>
    <row r="298" spans="1:14" x14ac:dyDescent="0.35">
      <c r="A298" s="2">
        <v>297</v>
      </c>
      <c r="B298" s="2" t="s">
        <v>428</v>
      </c>
      <c r="C298" s="2" t="s">
        <v>729</v>
      </c>
      <c r="D298" s="2" t="s">
        <v>10</v>
      </c>
      <c r="E298" s="2">
        <v>43</v>
      </c>
      <c r="F298" s="2">
        <v>18.600690423179621</v>
      </c>
      <c r="G298" s="2">
        <v>-69.992451318552199</v>
      </c>
      <c r="H298" s="8" t="str">
        <f>HYPERLINK(CONCATENATE("https://faluhong.users.earthengine.app/view/hispaniola-lc-validation#id=PF297;lat=18.600690423179625;lon=-69.9924513185522;year=2000;bf=40;level=18;"), "landsat_time_series")</f>
        <v>landsat_time_series</v>
      </c>
      <c r="I298" s="8" t="str">
        <f>HYPERLINK(CONCATENATE("https://jstnbraaten.users.earthengine.app/view/landsat-timeseries-explorer#run=true;lon=-69.9924513185522;lat=18.600690423179625;from=01-01;to=12-31;index=NBR;rgb=NIR%2FRED%2FGREEN;chipwidth=1;"), "landsat_chips")</f>
        <v>landsat_chips</v>
      </c>
      <c r="J298" s="8" t="str">
        <f>HYPERLINK(CONCATENATE("https://livingatlas.arcgis.com/wayback/#ext=-69.9934513185522,18.601690423179626,-69.9914513185522,18.599690423179624"), "wayback")</f>
        <v>wayback</v>
      </c>
      <c r="K298" s="2" t="s">
        <v>422</v>
      </c>
      <c r="L298" s="5"/>
      <c r="M298" s="5" t="s">
        <v>422</v>
      </c>
      <c r="N298" s="5"/>
    </row>
    <row r="299" spans="1:14" x14ac:dyDescent="0.35">
      <c r="A299" s="2">
        <v>298</v>
      </c>
      <c r="B299" s="2" t="s">
        <v>428</v>
      </c>
      <c r="C299" s="2" t="s">
        <v>730</v>
      </c>
      <c r="D299" s="2" t="s">
        <v>10</v>
      </c>
      <c r="E299" s="2">
        <v>60</v>
      </c>
      <c r="F299" s="2">
        <v>18.8201046353736</v>
      </c>
      <c r="G299" s="2">
        <v>-69.759555803057609</v>
      </c>
      <c r="H299" s="8" t="str">
        <f>HYPERLINK(CONCATENATE("https://faluhong.users.earthengine.app/view/hispaniola-lc-validation#id=PF298;lat=18.8201046353736;lon=-69.75955580305761;year=2000;bf=40;level=18;"), "landsat_time_series")</f>
        <v>landsat_time_series</v>
      </c>
      <c r="I299" s="8" t="str">
        <f>HYPERLINK(CONCATENATE("https://jstnbraaten.users.earthengine.app/view/landsat-timeseries-explorer#run=true;lon=-69.75955580305761;lat=18.8201046353736;from=01-01;to=12-31;index=NBR;rgb=NIR%2FRED%2FGREEN;chipwidth=1;"), "landsat_chips")</f>
        <v>landsat_chips</v>
      </c>
      <c r="J299" s="8" t="str">
        <f>HYPERLINK(CONCATENATE("https://livingatlas.arcgis.com/wayback/#ext=-69.76055580305761,18.8211046353736,-69.7585558030576,18.8191046353736"), "wayback")</f>
        <v>wayback</v>
      </c>
      <c r="K299" s="2" t="s">
        <v>422</v>
      </c>
      <c r="L299" s="5"/>
      <c r="M299" s="5" t="s">
        <v>422</v>
      </c>
      <c r="N299" s="5"/>
    </row>
    <row r="300" spans="1:14" x14ac:dyDescent="0.35">
      <c r="A300" s="2">
        <v>299</v>
      </c>
      <c r="B300" s="2" t="s">
        <v>428</v>
      </c>
      <c r="C300" s="2" t="s">
        <v>731</v>
      </c>
      <c r="D300" s="2" t="s">
        <v>10</v>
      </c>
      <c r="E300" s="2">
        <v>603</v>
      </c>
      <c r="F300" s="2">
        <v>18.676955537490159</v>
      </c>
      <c r="G300" s="2">
        <v>-71.150415733166014</v>
      </c>
      <c r="H300" s="8" t="str">
        <f>HYPERLINK(CONCATENATE("https://faluhong.users.earthengine.app/view/hispaniola-lc-validation#id=PF299;lat=18.676955537490162;lon=-71.15041573316601;year=2000;bf=40;level=18;"), "landsat_time_series")</f>
        <v>landsat_time_series</v>
      </c>
      <c r="I300" s="8" t="str">
        <f>HYPERLINK(CONCATENATE("https://jstnbraaten.users.earthengine.app/view/landsat-timeseries-explorer#run=true;lon=-71.15041573316601;lat=18.676955537490162;from=01-01;to=12-31;index=NBR;rgb=NIR%2FRED%2FGREEN;chipwidth=1;"), "landsat_chips")</f>
        <v>landsat_chips</v>
      </c>
      <c r="J300" s="8" t="str">
        <f>HYPERLINK(CONCATENATE("https://livingatlas.arcgis.com/wayback/#ext=-71.15141573316602,18.677955537490163,-71.14941573316601,18.67595553749016"), "wayback")</f>
        <v>wayback</v>
      </c>
      <c r="K300" s="2" t="s">
        <v>422</v>
      </c>
      <c r="L300" s="5"/>
      <c r="M300" s="5" t="s">
        <v>422</v>
      </c>
      <c r="N300" s="5"/>
    </row>
    <row r="301" spans="1:14" x14ac:dyDescent="0.35">
      <c r="A301" s="2">
        <v>300</v>
      </c>
      <c r="B301" s="2" t="s">
        <v>428</v>
      </c>
      <c r="C301" s="2" t="s">
        <v>732</v>
      </c>
      <c r="D301" s="2" t="s">
        <v>10</v>
      </c>
      <c r="E301" s="2">
        <v>218</v>
      </c>
      <c r="F301" s="2">
        <v>18.868499698450709</v>
      </c>
      <c r="G301" s="2">
        <v>-69.048999707373341</v>
      </c>
      <c r="H301" s="8" t="str">
        <f>HYPERLINK(CONCATENATE("https://faluhong.users.earthengine.app/view/hispaniola-lc-validation#id=PF300;lat=18.86849969845071;lon=-69.04899970737334;year=2000;bf=40;level=18;"), "landsat_time_series")</f>
        <v>landsat_time_series</v>
      </c>
      <c r="I301" s="8" t="str">
        <f>HYPERLINK(CONCATENATE("https://jstnbraaten.users.earthengine.app/view/landsat-timeseries-explorer#run=true;lon=-69.04899970737334;lat=18.86849969845071;from=01-01;to=12-31;index=NBR;rgb=NIR%2FRED%2FGREEN;chipwidth=1;"), "landsat_chips")</f>
        <v>landsat_chips</v>
      </c>
      <c r="J301" s="8" t="str">
        <f>HYPERLINK(CONCATENATE("https://livingatlas.arcgis.com/wayback/#ext=-69.04999970737335,18.86949969845071,-69.04799970737334,18.867499698450708"), "wayback")</f>
        <v>wayback</v>
      </c>
      <c r="K301" s="2" t="s">
        <v>422</v>
      </c>
      <c r="L301" s="5"/>
      <c r="M301" s="5" t="s">
        <v>422</v>
      </c>
      <c r="N301" s="5"/>
    </row>
    <row r="302" spans="1:14" x14ac:dyDescent="0.35">
      <c r="A302" s="2">
        <v>301</v>
      </c>
      <c r="B302" s="2" t="s">
        <v>428</v>
      </c>
      <c r="C302" s="2" t="s">
        <v>733</v>
      </c>
      <c r="D302" s="2" t="s">
        <v>20</v>
      </c>
      <c r="E302" s="2">
        <v>2151</v>
      </c>
      <c r="F302" s="2">
        <v>18.337988388348641</v>
      </c>
      <c r="G302" s="2">
        <v>-72.025782511196098</v>
      </c>
      <c r="H302" s="8" t="str">
        <f>HYPERLINK(CONCATENATE("https://faluhong.users.earthengine.app/view/hispaniola-lc-validation#id=PF301;lat=18.337988388348638;lon=-72.0257825111961;year=2000;bf=40;level=18;"), "landsat_time_series")</f>
        <v>landsat_time_series</v>
      </c>
      <c r="I302" s="8" t="str">
        <f>HYPERLINK(CONCATENATE("https://jstnbraaten.users.earthengine.app/view/landsat-timeseries-explorer#run=true;lon=-72.0257825111961;lat=18.337988388348638;from=01-01;to=12-31;index=NBR;rgb=NIR%2FRED%2FGREEN;chipwidth=1;"), "landsat_chips")</f>
        <v>landsat_chips</v>
      </c>
      <c r="J302" s="8" t="str">
        <f>HYPERLINK(CONCATENATE("https://livingatlas.arcgis.com/wayback/#ext=-72.0267825111961,18.33898838834864,-72.0247825111961,18.336988388348637"), "wayback")</f>
        <v>wayback</v>
      </c>
      <c r="K302" s="2" t="s">
        <v>418</v>
      </c>
      <c r="L302" s="5"/>
      <c r="M302" s="5" t="s">
        <v>418</v>
      </c>
      <c r="N302" s="5" t="s">
        <v>922</v>
      </c>
    </row>
    <row r="303" spans="1:14" x14ac:dyDescent="0.35">
      <c r="A303" s="2">
        <v>302</v>
      </c>
      <c r="B303" s="2" t="s">
        <v>428</v>
      </c>
      <c r="C303" s="2" t="s">
        <v>734</v>
      </c>
      <c r="D303" s="2" t="s">
        <v>10</v>
      </c>
      <c r="E303" s="2">
        <v>2291</v>
      </c>
      <c r="F303" s="2">
        <v>19.127748608535569</v>
      </c>
      <c r="G303" s="2">
        <v>-71.158084409785147</v>
      </c>
      <c r="H303" s="8" t="str">
        <f>HYPERLINK(CONCATENATE("https://faluhong.users.earthengine.app/view/hispaniola-lc-validation#id=PF302;lat=19.127748608535573;lon=-71.15808440978515;year=2000;bf=40;level=18;"), "landsat_time_series")</f>
        <v>landsat_time_series</v>
      </c>
      <c r="I303" s="8" t="str">
        <f>HYPERLINK(CONCATENATE("https://jstnbraaten.users.earthengine.app/view/landsat-timeseries-explorer#run=true;lon=-71.15808440978515;lat=19.127748608535573;from=01-01;to=12-31;index=NBR;rgb=NIR%2FRED%2FGREEN;chipwidth=1;"), "landsat_chips")</f>
        <v>landsat_chips</v>
      </c>
      <c r="J303" s="8" t="str">
        <f>HYPERLINK(CONCATENATE("https://livingatlas.arcgis.com/wayback/#ext=-71.15908440978515,19.128748608535574,-71.15708440978514,19.12674860853557"), "wayback")</f>
        <v>wayback</v>
      </c>
      <c r="K303" s="2" t="s">
        <v>418</v>
      </c>
      <c r="L303" s="5"/>
      <c r="M303" s="5" t="s">
        <v>418</v>
      </c>
      <c r="N303" s="5" t="s">
        <v>419</v>
      </c>
    </row>
    <row r="304" spans="1:14" x14ac:dyDescent="0.35">
      <c r="A304" s="2">
        <v>303</v>
      </c>
      <c r="B304" s="2" t="s">
        <v>428</v>
      </c>
      <c r="C304" s="2" t="s">
        <v>735</v>
      </c>
      <c r="D304" s="2" t="s">
        <v>10</v>
      </c>
      <c r="E304" s="2">
        <v>2089</v>
      </c>
      <c r="F304" s="2">
        <v>18.789535622709849</v>
      </c>
      <c r="G304" s="2">
        <v>-70.705109547606128</v>
      </c>
      <c r="H304" s="8" t="str">
        <f>HYPERLINK(CONCATENATE("https://faluhong.users.earthengine.app/view/hispaniola-lc-validation#id=PF303;lat=18.78953562270985;lon=-70.70510954760613;year=2000;bf=40;level=18;"), "landsat_time_series")</f>
        <v>landsat_time_series</v>
      </c>
      <c r="I304" s="8" t="str">
        <f>HYPERLINK(CONCATENATE("https://jstnbraaten.users.earthengine.app/view/landsat-timeseries-explorer#run=true;lon=-70.70510954760613;lat=18.78953562270985;from=01-01;to=12-31;index=NBR;rgb=NIR%2FRED%2FGREEN;chipwidth=1;"), "landsat_chips")</f>
        <v>landsat_chips</v>
      </c>
      <c r="J304" s="8" t="str">
        <f>HYPERLINK(CONCATENATE("https://livingatlas.arcgis.com/wayback/#ext=-70.70610954760613,18.79053562270985,-70.70410954760612,18.788535622709848"), "wayback")</f>
        <v>wayback</v>
      </c>
      <c r="K304" s="2" t="s">
        <v>418</v>
      </c>
      <c r="L304" s="5"/>
      <c r="M304" s="5" t="s">
        <v>418</v>
      </c>
      <c r="N304" s="5" t="s">
        <v>419</v>
      </c>
    </row>
    <row r="305" spans="1:14" x14ac:dyDescent="0.35">
      <c r="A305" s="2">
        <v>304</v>
      </c>
      <c r="B305" s="2" t="s">
        <v>428</v>
      </c>
      <c r="C305" s="2" t="s">
        <v>736</v>
      </c>
      <c r="D305" s="2" t="s">
        <v>20</v>
      </c>
      <c r="E305" s="2">
        <v>213</v>
      </c>
      <c r="F305" s="2">
        <v>18.902362051634789</v>
      </c>
      <c r="G305" s="2">
        <v>-71.941410220815584</v>
      </c>
      <c r="H305" s="8" t="str">
        <f>HYPERLINK(CONCATENATE("https://faluhong.users.earthengine.app/view/hispaniola-lc-validation#id=PF304;lat=18.90236205163479;lon=-71.94141022081558;year=2000;bf=40;level=18;"), "landsat_time_series")</f>
        <v>landsat_time_series</v>
      </c>
      <c r="I305" s="8" t="str">
        <f>HYPERLINK(CONCATENATE("https://jstnbraaten.users.earthengine.app/view/landsat-timeseries-explorer#run=true;lon=-71.94141022081558;lat=18.90236205163479;from=01-01;to=12-31;index=NBR;rgb=NIR%2FRED%2FGREEN;chipwidth=1;"), "landsat_chips")</f>
        <v>landsat_chips</v>
      </c>
      <c r="J305" s="8" t="str">
        <f>HYPERLINK(CONCATENATE("https://livingatlas.arcgis.com/wayback/#ext=-71.94241022081559,18.90336205163479,-71.94041022081558,18.901362051634788"), "wayback")</f>
        <v>wayback</v>
      </c>
      <c r="K305" s="2" t="s">
        <v>422</v>
      </c>
      <c r="L305" s="5"/>
      <c r="M305" s="5" t="s">
        <v>422</v>
      </c>
      <c r="N305" s="5"/>
    </row>
    <row r="306" spans="1:14" x14ac:dyDescent="0.35">
      <c r="A306" s="2">
        <v>305</v>
      </c>
      <c r="B306" s="2" t="s">
        <v>428</v>
      </c>
      <c r="C306" s="2" t="s">
        <v>737</v>
      </c>
      <c r="D306" s="2" t="s">
        <v>10</v>
      </c>
      <c r="E306" s="2">
        <v>1220</v>
      </c>
      <c r="F306" s="2">
        <v>19.209504428462768</v>
      </c>
      <c r="G306" s="2">
        <v>-70.999220245428674</v>
      </c>
      <c r="H306" s="8" t="str">
        <f>HYPERLINK(CONCATENATE("https://faluhong.users.earthengine.app/view/hispaniola-lc-validation#id=PF305;lat=19.20950442846277;lon=-70.99922024542867;year=2000;bf=40;level=18;"), "landsat_time_series")</f>
        <v>landsat_time_series</v>
      </c>
      <c r="I306" s="8" t="str">
        <f>HYPERLINK(CONCATENATE("https://jstnbraaten.users.earthengine.app/view/landsat-timeseries-explorer#run=true;lon=-70.99922024542867;lat=19.20950442846277;from=01-01;to=12-31;index=NBR;rgb=NIR%2FRED%2FGREEN;chipwidth=1;"), "landsat_chips")</f>
        <v>landsat_chips</v>
      </c>
      <c r="J306" s="8" t="str">
        <f>HYPERLINK(CONCATENATE("https://livingatlas.arcgis.com/wayback/#ext=-71.00022024542868,19.21050442846277,-70.99822024542867,19.208504428462767"), "wayback")</f>
        <v>wayback</v>
      </c>
      <c r="K306" s="2" t="s">
        <v>418</v>
      </c>
      <c r="L306" s="5"/>
      <c r="M306" s="5" t="s">
        <v>418</v>
      </c>
      <c r="N306" s="5" t="s">
        <v>922</v>
      </c>
    </row>
    <row r="307" spans="1:14" x14ac:dyDescent="0.35">
      <c r="A307" s="2">
        <v>306</v>
      </c>
      <c r="B307" s="2" t="s">
        <v>428</v>
      </c>
      <c r="C307" s="2" t="s">
        <v>738</v>
      </c>
      <c r="D307" s="2" t="s">
        <v>10</v>
      </c>
      <c r="E307" s="2">
        <v>1875</v>
      </c>
      <c r="F307" s="2">
        <v>18.983312658646302</v>
      </c>
      <c r="G307" s="2">
        <v>-71.038742380054487</v>
      </c>
      <c r="H307" s="8" t="str">
        <f>HYPERLINK(CONCATENATE("https://faluhong.users.earthengine.app/view/hispaniola-lc-validation#id=PF306;lat=18.983312658646298;lon=-71.03874238005449;year=2000;bf=40;level=18;"), "landsat_time_series")</f>
        <v>landsat_time_series</v>
      </c>
      <c r="I307" s="8" t="str">
        <f>HYPERLINK(CONCATENATE("https://jstnbraaten.users.earthengine.app/view/landsat-timeseries-explorer#run=true;lon=-71.03874238005449;lat=18.983312658646298;from=01-01;to=12-31;index=NBR;rgb=NIR%2FRED%2FGREEN;chipwidth=1;"), "landsat_chips")</f>
        <v>landsat_chips</v>
      </c>
      <c r="J307" s="8" t="str">
        <f>HYPERLINK(CONCATENATE("https://livingatlas.arcgis.com/wayback/#ext=-71.03974238005449,18.9843126586463,-71.03774238005448,18.982312658646297"), "wayback")</f>
        <v>wayback</v>
      </c>
      <c r="K307" s="2" t="s">
        <v>418</v>
      </c>
      <c r="L307" s="5"/>
      <c r="M307" s="5" t="s">
        <v>418</v>
      </c>
      <c r="N307" s="5" t="s">
        <v>419</v>
      </c>
    </row>
    <row r="308" spans="1:14" x14ac:dyDescent="0.35">
      <c r="A308" s="2">
        <v>307</v>
      </c>
      <c r="B308" s="2" t="s">
        <v>428</v>
      </c>
      <c r="C308" s="2" t="s">
        <v>739</v>
      </c>
      <c r="D308" s="2" t="s">
        <v>10</v>
      </c>
      <c r="E308" s="2">
        <v>4</v>
      </c>
      <c r="F308" s="2">
        <v>18.50525950501989</v>
      </c>
      <c r="G308" s="2">
        <v>-68.380895843069737</v>
      </c>
      <c r="H308" s="8" t="str">
        <f>HYPERLINK(CONCATENATE("https://faluhong.users.earthengine.app/view/hispaniola-lc-validation#id=PF307;lat=18.50525950501989;lon=-68.38089584306974;year=2000;bf=40;level=18;"), "landsat_time_series")</f>
        <v>landsat_time_series</v>
      </c>
      <c r="I308" s="8" t="str">
        <f>HYPERLINK(CONCATENATE("https://jstnbraaten.users.earthengine.app/view/landsat-timeseries-explorer#run=true;lon=-68.38089584306974;lat=18.50525950501989;from=01-01;to=12-31;index=NBR;rgb=NIR%2FRED%2FGREEN;chipwidth=1;"), "landsat_chips")</f>
        <v>landsat_chips</v>
      </c>
      <c r="J308" s="8" t="str">
        <f>HYPERLINK(CONCATENATE("https://livingatlas.arcgis.com/wayback/#ext=-68.38189584306974,18.50625950501989,-68.37989584306973,18.50425950501989"), "wayback")</f>
        <v>wayback</v>
      </c>
      <c r="K308" s="2" t="s">
        <v>422</v>
      </c>
      <c r="L308" s="5"/>
      <c r="M308" s="5" t="s">
        <v>422</v>
      </c>
      <c r="N308" s="5"/>
    </row>
    <row r="309" spans="1:14" x14ac:dyDescent="0.35">
      <c r="A309" s="2">
        <v>308</v>
      </c>
      <c r="B309" s="2" t="s">
        <v>428</v>
      </c>
      <c r="C309" s="2" t="s">
        <v>740</v>
      </c>
      <c r="D309" s="2" t="s">
        <v>10</v>
      </c>
      <c r="E309" s="2">
        <v>34</v>
      </c>
      <c r="F309" s="2">
        <v>18.437699270454601</v>
      </c>
      <c r="G309" s="2">
        <v>-70.626612640417449</v>
      </c>
      <c r="H309" s="8" t="str">
        <f>HYPERLINK(CONCATENATE("https://faluhong.users.earthengine.app/view/hispaniola-lc-validation#id=PF308;lat=18.437699270454605;lon=-70.62661264041745;year=2000;bf=40;level=18;"), "landsat_time_series")</f>
        <v>landsat_time_series</v>
      </c>
      <c r="I309" s="8" t="str">
        <f>HYPERLINK(CONCATENATE("https://jstnbraaten.users.earthengine.app/view/landsat-timeseries-explorer#run=true;lon=-70.62661264041745;lat=18.437699270454605;from=01-01;to=12-31;index=NBR;rgb=NIR%2FRED%2FGREEN;chipwidth=1;"), "landsat_chips")</f>
        <v>landsat_chips</v>
      </c>
      <c r="J309" s="8" t="str">
        <f>HYPERLINK(CONCATENATE("https://livingatlas.arcgis.com/wayback/#ext=-70.62761264041745,18.438699270454606,-70.62561264041744,18.436699270454604"), "wayback")</f>
        <v>wayback</v>
      </c>
      <c r="K309" s="2" t="s">
        <v>422</v>
      </c>
      <c r="L309" s="5"/>
      <c r="M309" s="5" t="s">
        <v>422</v>
      </c>
      <c r="N309" s="5"/>
    </row>
    <row r="310" spans="1:14" x14ac:dyDescent="0.35">
      <c r="A310" s="2">
        <v>309</v>
      </c>
      <c r="B310" s="2" t="s">
        <v>428</v>
      </c>
      <c r="C310" s="2" t="s">
        <v>741</v>
      </c>
      <c r="D310" s="2" t="s">
        <v>20</v>
      </c>
      <c r="E310" s="2">
        <v>1137</v>
      </c>
      <c r="F310" s="2">
        <v>18.227724034013111</v>
      </c>
      <c r="G310" s="2">
        <v>-71.753543490045701</v>
      </c>
      <c r="H310" s="8" t="str">
        <f>HYPERLINK(CONCATENATE("https://faluhong.users.earthengine.app/view/hispaniola-lc-validation#id=PF309;lat=18.227724034013114;lon=-71.7535434900457;year=2000;bf=40;level=18;"), "landsat_time_series")</f>
        <v>landsat_time_series</v>
      </c>
      <c r="I310" s="8" t="str">
        <f>HYPERLINK(CONCATENATE("https://jstnbraaten.users.earthengine.app/view/landsat-timeseries-explorer#run=true;lon=-71.7535434900457;lat=18.227724034013114;from=01-01;to=12-31;index=NBR;rgb=NIR%2FRED%2FGREEN;chipwidth=1;"), "landsat_chips")</f>
        <v>landsat_chips</v>
      </c>
      <c r="J310" s="8" t="str">
        <f>HYPERLINK(CONCATENATE("https://livingatlas.arcgis.com/wayback/#ext=-71.7545434900457,18.228724034013116,-71.7525434900457,18.226724034013113"), "wayback")</f>
        <v>wayback</v>
      </c>
      <c r="K310" s="2" t="s">
        <v>422</v>
      </c>
      <c r="L310" s="5"/>
      <c r="M310" s="5" t="s">
        <v>422</v>
      </c>
      <c r="N310" s="5"/>
    </row>
    <row r="311" spans="1:14" x14ac:dyDescent="0.35">
      <c r="A311" s="2">
        <v>310</v>
      </c>
      <c r="B311" s="2" t="s">
        <v>428</v>
      </c>
      <c r="C311" s="2" t="s">
        <v>742</v>
      </c>
      <c r="D311" s="2" t="s">
        <v>10</v>
      </c>
      <c r="E311" s="2">
        <v>87</v>
      </c>
      <c r="F311" s="2">
        <v>18.506846874438999</v>
      </c>
      <c r="G311" s="2">
        <v>-71.859827162210152</v>
      </c>
      <c r="H311" s="8" t="str">
        <f>HYPERLINK(CONCATENATE("https://faluhong.users.earthengine.app/view/hispaniola-lc-validation#id=PF310;lat=18.506846874439002;lon=-71.85982716221015;year=2000;bf=40;level=18;"), "landsat_time_series")</f>
        <v>landsat_time_series</v>
      </c>
      <c r="I311" s="8" t="str">
        <f>HYPERLINK(CONCATENATE("https://jstnbraaten.users.earthengine.app/view/landsat-timeseries-explorer#run=true;lon=-71.85982716221015;lat=18.506846874439002;from=01-01;to=12-31;index=NBR;rgb=NIR%2FRED%2FGREEN;chipwidth=1;"), "landsat_chips")</f>
        <v>landsat_chips</v>
      </c>
      <c r="J311" s="8" t="str">
        <f>HYPERLINK(CONCATENATE("https://livingatlas.arcgis.com/wayback/#ext=-71.86082716221016,18.507846874439004,-71.85882716221015,18.505846874439"), "wayback")</f>
        <v>wayback</v>
      </c>
      <c r="K311" s="2" t="s">
        <v>422</v>
      </c>
      <c r="L311" s="5"/>
      <c r="M311" s="5" t="s">
        <v>422</v>
      </c>
      <c r="N311" s="5"/>
    </row>
    <row r="312" spans="1:14" x14ac:dyDescent="0.35">
      <c r="A312" s="2">
        <v>311</v>
      </c>
      <c r="B312" s="2" t="s">
        <v>428</v>
      </c>
      <c r="C312" s="2" t="s">
        <v>743</v>
      </c>
      <c r="D312" s="2" t="s">
        <v>10</v>
      </c>
      <c r="E312" s="2">
        <v>2291</v>
      </c>
      <c r="F312" s="2">
        <v>19.120026807672971</v>
      </c>
      <c r="G312" s="2">
        <v>-71.11590258141868</v>
      </c>
      <c r="H312" s="8" t="str">
        <f>HYPERLINK(CONCATENATE("https://faluhong.users.earthengine.app/view/hispaniola-lc-validation#id=PF311;lat=19.120026807672968;lon=-71.11590258141868;year=2000;bf=40;level=18;"), "landsat_time_series")</f>
        <v>landsat_time_series</v>
      </c>
      <c r="I312" s="8" t="str">
        <f>HYPERLINK(CONCATENATE("https://jstnbraaten.users.earthengine.app/view/landsat-timeseries-explorer#run=true;lon=-71.11590258141868;lat=19.120026807672968;from=01-01;to=12-31;index=NBR;rgb=NIR%2FRED%2FGREEN;chipwidth=1;"), "landsat_chips")</f>
        <v>landsat_chips</v>
      </c>
      <c r="J312" s="8" t="str">
        <f>HYPERLINK(CONCATENATE("https://livingatlas.arcgis.com/wayback/#ext=-71.11690258141869,19.12102680767297,-71.11490258141868,19.119026807672967"), "wayback")</f>
        <v>wayback</v>
      </c>
      <c r="K312" s="2" t="s">
        <v>418</v>
      </c>
      <c r="L312" s="5"/>
      <c r="M312" s="5" t="s">
        <v>418</v>
      </c>
      <c r="N312" s="5" t="s">
        <v>419</v>
      </c>
    </row>
    <row r="313" spans="1:14" x14ac:dyDescent="0.35">
      <c r="A313" s="2">
        <v>312</v>
      </c>
      <c r="B313" s="2" t="s">
        <v>428</v>
      </c>
      <c r="C313" s="2" t="s">
        <v>744</v>
      </c>
      <c r="D313" s="2" t="s">
        <v>10</v>
      </c>
      <c r="E313" s="2">
        <v>187</v>
      </c>
      <c r="F313" s="2">
        <v>18.436199960341</v>
      </c>
      <c r="G313" s="2">
        <v>-70.192473893616466</v>
      </c>
      <c r="H313" s="8" t="str">
        <f>HYPERLINK(CONCATENATE("https://faluhong.users.earthengine.app/view/hispaniola-lc-validation#id=PF312;lat=18.436199960341003;lon=-70.19247389361647;year=2000;bf=40;level=18;"), "landsat_time_series")</f>
        <v>landsat_time_series</v>
      </c>
      <c r="I313" s="8" t="str">
        <f>HYPERLINK(CONCATENATE("https://jstnbraaten.users.earthengine.app/view/landsat-timeseries-explorer#run=true;lon=-70.19247389361647;lat=18.436199960341003;from=01-01;to=12-31;index=NBR;rgb=NIR%2FRED%2FGREEN;chipwidth=1;"), "landsat_chips")</f>
        <v>landsat_chips</v>
      </c>
      <c r="J313" s="8" t="str">
        <f>HYPERLINK(CONCATENATE("https://livingatlas.arcgis.com/wayback/#ext=-70.19347389361647,18.437199960341005,-70.19147389361646,18.435199960341002"), "wayback")</f>
        <v>wayback</v>
      </c>
      <c r="K313" s="2" t="s">
        <v>422</v>
      </c>
      <c r="L313" s="5"/>
      <c r="M313" s="5" t="s">
        <v>422</v>
      </c>
      <c r="N313" s="5"/>
    </row>
    <row r="314" spans="1:14" x14ac:dyDescent="0.35">
      <c r="A314" s="2">
        <v>313</v>
      </c>
      <c r="B314" s="2" t="s">
        <v>428</v>
      </c>
      <c r="C314" s="2" t="s">
        <v>745</v>
      </c>
      <c r="D314" s="2" t="s">
        <v>20</v>
      </c>
      <c r="E314" s="2">
        <v>251</v>
      </c>
      <c r="F314" s="2">
        <v>18.166902437038591</v>
      </c>
      <c r="G314" s="2">
        <v>-73.929294718795759</v>
      </c>
      <c r="H314" s="8" t="str">
        <f>HYPERLINK(CONCATENATE("https://faluhong.users.earthengine.app/view/hispaniola-lc-validation#id=PF313;lat=18.166902437038587;lon=-73.92929471879576;year=2000;bf=40;level=18;"), "landsat_time_series")</f>
        <v>landsat_time_series</v>
      </c>
      <c r="I314" s="8" t="str">
        <f>HYPERLINK(CONCATENATE("https://jstnbraaten.users.earthengine.app/view/landsat-timeseries-explorer#run=true;lon=-73.92929471879576;lat=18.166902437038587;from=01-01;to=12-31;index=NBR;rgb=NIR%2FRED%2FGREEN;chipwidth=1;"), "landsat_chips")</f>
        <v>landsat_chips</v>
      </c>
      <c r="J314" s="8" t="str">
        <f>HYPERLINK(CONCATENATE("https://livingatlas.arcgis.com/wayback/#ext=-73.93029471879576,18.167902437038588,-73.92829471879575,18.165902437038586"), "wayback")</f>
        <v>wayback</v>
      </c>
      <c r="K314" s="2" t="s">
        <v>422</v>
      </c>
      <c r="L314" s="5"/>
      <c r="M314" s="5" t="s">
        <v>422</v>
      </c>
      <c r="N314" s="5"/>
    </row>
    <row r="315" spans="1:14" x14ac:dyDescent="0.35">
      <c r="A315" s="2">
        <v>314</v>
      </c>
      <c r="B315" s="2" t="s">
        <v>428</v>
      </c>
      <c r="C315" s="2" t="s">
        <v>746</v>
      </c>
      <c r="D315" s="2" t="s">
        <v>10</v>
      </c>
      <c r="E315" s="2">
        <v>14</v>
      </c>
      <c r="F315" s="2">
        <v>19.891232405810111</v>
      </c>
      <c r="G315" s="2">
        <v>-71.471988932404898</v>
      </c>
      <c r="H315" s="8" t="str">
        <f>HYPERLINK(CONCATENATE("https://faluhong.users.earthengine.app/view/hispaniola-lc-validation#id=PF314;lat=19.89123240581011;lon=-71.4719889324049;year=2000;bf=40;level=18;"), "landsat_time_series")</f>
        <v>landsat_time_series</v>
      </c>
      <c r="I315" s="8" t="str">
        <f>HYPERLINK(CONCATENATE("https://jstnbraaten.users.earthengine.app/view/landsat-timeseries-explorer#run=true;lon=-71.4719889324049;lat=19.89123240581011;from=01-01;to=12-31;index=NBR;rgb=NIR%2FRED%2FGREEN;chipwidth=1;"), "landsat_chips")</f>
        <v>landsat_chips</v>
      </c>
      <c r="J315" s="8" t="str">
        <f>HYPERLINK(CONCATENATE("https://livingatlas.arcgis.com/wayback/#ext=-71.4729889324049,19.892232405810113,-71.4709889324049,19.89023240581011"), "wayback")</f>
        <v>wayback</v>
      </c>
      <c r="K315" s="2" t="s">
        <v>422</v>
      </c>
      <c r="L315" s="5"/>
      <c r="M315" s="5" t="s">
        <v>422</v>
      </c>
      <c r="N315" s="5"/>
    </row>
    <row r="316" spans="1:14" x14ac:dyDescent="0.35">
      <c r="A316" s="2">
        <v>315</v>
      </c>
      <c r="B316" s="2" t="s">
        <v>428</v>
      </c>
      <c r="C316" s="2" t="s">
        <v>747</v>
      </c>
      <c r="D316" s="2" t="s">
        <v>20</v>
      </c>
      <c r="E316" s="2">
        <v>779</v>
      </c>
      <c r="F316" s="2">
        <v>19.529333875080209</v>
      </c>
      <c r="G316" s="2">
        <v>-72.026814045551291</v>
      </c>
      <c r="H316" s="8" t="str">
        <f>HYPERLINK(CONCATENATE("https://faluhong.users.earthengine.app/view/hispaniola-lc-validation#id=PF315;lat=19.52933387508021;lon=-72.02681404555129;year=2000;bf=40;level=18;"), "landsat_time_series")</f>
        <v>landsat_time_series</v>
      </c>
      <c r="I316" s="8" t="str">
        <f>HYPERLINK(CONCATENATE("https://jstnbraaten.users.earthengine.app/view/landsat-timeseries-explorer#run=true;lon=-72.02681404555129;lat=19.52933387508021;from=01-01;to=12-31;index=NBR;rgb=NIR%2FRED%2FGREEN;chipwidth=1;"), "landsat_chips")</f>
        <v>landsat_chips</v>
      </c>
      <c r="J316" s="8" t="str">
        <f>HYPERLINK(CONCATENATE("https://livingatlas.arcgis.com/wayback/#ext=-72.0278140455513,19.53033387508021,-72.02581404555129,19.528333875080207"), "wayback")</f>
        <v>wayback</v>
      </c>
      <c r="K316" s="2" t="s">
        <v>422</v>
      </c>
      <c r="L316" s="5"/>
      <c r="M316" s="5" t="s">
        <v>422</v>
      </c>
      <c r="N316" s="5"/>
    </row>
    <row r="317" spans="1:14" x14ac:dyDescent="0.35">
      <c r="A317" s="2">
        <v>316</v>
      </c>
      <c r="B317" s="2" t="s">
        <v>428</v>
      </c>
      <c r="C317" s="2" t="s">
        <v>748</v>
      </c>
      <c r="D317" s="2" t="s">
        <v>10</v>
      </c>
      <c r="E317" s="2">
        <v>787</v>
      </c>
      <c r="F317" s="2">
        <v>19.270572324258229</v>
      </c>
      <c r="G317" s="2">
        <v>-71.354379479948278</v>
      </c>
      <c r="H317" s="8" t="str">
        <f>HYPERLINK(CONCATENATE("https://faluhong.users.earthengine.app/view/hispaniola-lc-validation#id=PF316;lat=19.27057232425823;lon=-71.35437947994828;year=2000;bf=40;level=18;"), "landsat_time_series")</f>
        <v>landsat_time_series</v>
      </c>
      <c r="I317" s="8" t="str">
        <f>HYPERLINK(CONCATENATE("https://jstnbraaten.users.earthengine.app/view/landsat-timeseries-explorer#run=true;lon=-71.35437947994828;lat=19.27057232425823;from=01-01;to=12-31;index=NBR;rgb=NIR%2FRED%2FGREEN;chipwidth=1;"), "landsat_chips")</f>
        <v>landsat_chips</v>
      </c>
      <c r="J317" s="8" t="str">
        <f>HYPERLINK(CONCATENATE("https://livingatlas.arcgis.com/wayback/#ext=-71.35537947994828,19.27157232425823,-71.35337947994827,19.269572324258228"), "wayback")</f>
        <v>wayback</v>
      </c>
      <c r="K317" s="2" t="s">
        <v>422</v>
      </c>
      <c r="L317" s="5"/>
      <c r="M317" s="5" t="s">
        <v>422</v>
      </c>
      <c r="N317" s="5"/>
    </row>
    <row r="318" spans="1:14" x14ac:dyDescent="0.35">
      <c r="A318" s="2">
        <v>317</v>
      </c>
      <c r="B318" s="2" t="s">
        <v>428</v>
      </c>
      <c r="C318" s="2" t="s">
        <v>749</v>
      </c>
      <c r="D318" s="2" t="s">
        <v>10</v>
      </c>
      <c r="E318" s="2">
        <v>1255</v>
      </c>
      <c r="F318" s="2">
        <v>18.969016066503151</v>
      </c>
      <c r="G318" s="2">
        <v>-70.662007738391836</v>
      </c>
      <c r="H318" s="8" t="str">
        <f>HYPERLINK(CONCATENATE("https://faluhong.users.earthengine.app/view/hispaniola-lc-validation#id=PF317;lat=18.96901606650315;lon=-70.66200773839184;year=2000;bf=40;level=18;"), "landsat_time_series")</f>
        <v>landsat_time_series</v>
      </c>
      <c r="I318" s="8" t="str">
        <f>HYPERLINK(CONCATENATE("https://jstnbraaten.users.earthengine.app/view/landsat-timeseries-explorer#run=true;lon=-70.66200773839184;lat=18.96901606650315;from=01-01;to=12-31;index=NBR;rgb=NIR%2FRED%2FGREEN;chipwidth=1;"), "landsat_chips")</f>
        <v>landsat_chips</v>
      </c>
      <c r="J318" s="8" t="str">
        <f>HYPERLINK(CONCATENATE("https://livingatlas.arcgis.com/wayback/#ext=-70.66300773839184,18.970016066503153,-70.66100773839183,18.96801606650315"), "wayback")</f>
        <v>wayback</v>
      </c>
      <c r="K318" s="2" t="s">
        <v>418</v>
      </c>
      <c r="L318" s="5"/>
      <c r="M318" s="5" t="s">
        <v>418</v>
      </c>
      <c r="N318" s="5" t="s">
        <v>420</v>
      </c>
    </row>
    <row r="319" spans="1:14" x14ac:dyDescent="0.35">
      <c r="A319" s="2">
        <v>318</v>
      </c>
      <c r="B319" s="2" t="s">
        <v>428</v>
      </c>
      <c r="C319" s="2" t="s">
        <v>750</v>
      </c>
      <c r="D319" s="2" t="s">
        <v>20</v>
      </c>
      <c r="E319" s="2">
        <v>189</v>
      </c>
      <c r="F319" s="2">
        <v>18.294835331150399</v>
      </c>
      <c r="G319" s="2">
        <v>-73.567940751671259</v>
      </c>
      <c r="H319" s="8" t="str">
        <f>HYPERLINK(CONCATENATE("https://faluhong.users.earthengine.app/view/hispaniola-lc-validation#id=PF318;lat=18.294835331150395;lon=-73.56794075167126;year=2000;bf=40;level=18;"), "landsat_time_series")</f>
        <v>landsat_time_series</v>
      </c>
      <c r="I319" s="8" t="str">
        <f>HYPERLINK(CONCATENATE("https://jstnbraaten.users.earthengine.app/view/landsat-timeseries-explorer#run=true;lon=-73.56794075167126;lat=18.294835331150395;from=01-01;to=12-31;index=NBR;rgb=NIR%2FRED%2FGREEN;chipwidth=1;"), "landsat_chips")</f>
        <v>landsat_chips</v>
      </c>
      <c r="J319" s="8" t="str">
        <f>HYPERLINK(CONCATENATE("https://livingatlas.arcgis.com/wayback/#ext=-73.56894075167126,18.295835331150396,-73.56694075167125,18.293835331150394"), "wayback")</f>
        <v>wayback</v>
      </c>
      <c r="K319" s="2" t="s">
        <v>422</v>
      </c>
      <c r="L319" s="5"/>
      <c r="M319" s="5" t="s">
        <v>422</v>
      </c>
      <c r="N319" s="5"/>
    </row>
    <row r="320" spans="1:14" x14ac:dyDescent="0.35">
      <c r="A320" s="2">
        <v>319</v>
      </c>
      <c r="B320" s="2" t="s">
        <v>428</v>
      </c>
      <c r="C320" s="2" t="s">
        <v>751</v>
      </c>
      <c r="D320" s="2" t="s">
        <v>20</v>
      </c>
      <c r="E320" s="2">
        <v>341</v>
      </c>
      <c r="F320" s="2">
        <v>19.639069663245611</v>
      </c>
      <c r="G320" s="2">
        <v>-72.729068357131652</v>
      </c>
      <c r="H320" s="8" t="str">
        <f>HYPERLINK(CONCATENATE("https://faluhong.users.earthengine.app/view/hispaniola-lc-validation#id=PF319;lat=19.639069663245607;lon=-72.72906835713165;year=2000;bf=40;level=18;"), "landsat_time_series")</f>
        <v>landsat_time_series</v>
      </c>
      <c r="I320" s="8" t="str">
        <f>HYPERLINK(CONCATENATE("https://jstnbraaten.users.earthengine.app/view/landsat-timeseries-explorer#run=true;lon=-72.72906835713165;lat=19.639069663245607;from=01-01;to=12-31;index=NBR;rgb=NIR%2FRED%2FGREEN;chipwidth=1;"), "landsat_chips")</f>
        <v>landsat_chips</v>
      </c>
      <c r="J320" s="8" t="str">
        <f>HYPERLINK(CONCATENATE("https://livingatlas.arcgis.com/wayback/#ext=-72.73006835713166,19.640069663245608,-72.72806835713165,19.638069663245606"), "wayback")</f>
        <v>wayback</v>
      </c>
      <c r="K320" s="2" t="s">
        <v>422</v>
      </c>
      <c r="L320" s="5"/>
      <c r="M320" s="5" t="s">
        <v>422</v>
      </c>
      <c r="N320" s="5"/>
    </row>
    <row r="321" spans="1:14" x14ac:dyDescent="0.35">
      <c r="A321" s="2">
        <v>320</v>
      </c>
      <c r="B321" s="2" t="s">
        <v>428</v>
      </c>
      <c r="C321" s="2" t="s">
        <v>752</v>
      </c>
      <c r="D321" s="2" t="s">
        <v>20</v>
      </c>
      <c r="E321" s="2">
        <v>377</v>
      </c>
      <c r="F321" s="2">
        <v>18.349807966933369</v>
      </c>
      <c r="G321" s="2">
        <v>-74.143135778616141</v>
      </c>
      <c r="H321" s="8" t="str">
        <f>HYPERLINK(CONCATENATE("https://faluhong.users.earthengine.app/view/hispaniola-lc-validation#id=PF320;lat=18.349807966933373;lon=-74.14313577861614;year=2000;bf=40;level=18;"), "landsat_time_series")</f>
        <v>landsat_time_series</v>
      </c>
      <c r="I321" s="8" t="str">
        <f>HYPERLINK(CONCATENATE("https://jstnbraaten.users.earthengine.app/view/landsat-timeseries-explorer#run=true;lon=-74.14313577861614;lat=18.349807966933373;from=01-01;to=12-31;index=NBR;rgb=NIR%2FRED%2FGREEN;chipwidth=1;"), "landsat_chips")</f>
        <v>landsat_chips</v>
      </c>
      <c r="J321" s="8" t="str">
        <f>HYPERLINK(CONCATENATE("https://livingatlas.arcgis.com/wayback/#ext=-74.14413577861615,18.350807966933374,-74.14213577861614,18.34880796693337"), "wayback")</f>
        <v>wayback</v>
      </c>
      <c r="K321" s="2" t="s">
        <v>422</v>
      </c>
      <c r="L321" s="5"/>
      <c r="M321" s="5" t="s">
        <v>422</v>
      </c>
      <c r="N321" s="5"/>
    </row>
    <row r="322" spans="1:14" x14ac:dyDescent="0.35">
      <c r="A322" s="2">
        <v>321</v>
      </c>
      <c r="B322" s="2" t="s">
        <v>428</v>
      </c>
      <c r="C322" s="2" t="s">
        <v>753</v>
      </c>
      <c r="D322" s="2" t="s">
        <v>10</v>
      </c>
      <c r="E322" s="2">
        <v>1203</v>
      </c>
      <c r="F322" s="2">
        <v>18.91805249613142</v>
      </c>
      <c r="G322" s="2">
        <v>-70.745464641858121</v>
      </c>
      <c r="H322" s="8" t="str">
        <f>HYPERLINK(CONCATENATE("https://faluhong.users.earthengine.app/view/hispaniola-lc-validation#id=PF321;lat=18.918052496131416;lon=-70.74546464185812;year=2000;bf=40;level=18;"), "landsat_time_series")</f>
        <v>landsat_time_series</v>
      </c>
      <c r="I322" s="8" t="str">
        <f>HYPERLINK(CONCATENATE("https://jstnbraaten.users.earthengine.app/view/landsat-timeseries-explorer#run=true;lon=-70.74546464185812;lat=18.918052496131416;from=01-01;to=12-31;index=NBR;rgb=NIR%2FRED%2FGREEN;chipwidth=1;"), "landsat_chips")</f>
        <v>landsat_chips</v>
      </c>
      <c r="J322" s="8" t="str">
        <f>HYPERLINK(CONCATENATE("https://livingatlas.arcgis.com/wayback/#ext=-70.74646464185813,18.919052496131417,-70.74446464185812,18.917052496131415"), "wayback")</f>
        <v>wayback</v>
      </c>
      <c r="K322" s="2" t="s">
        <v>422</v>
      </c>
      <c r="L322" s="5"/>
      <c r="M322" s="5" t="s">
        <v>422</v>
      </c>
      <c r="N322" s="5"/>
    </row>
    <row r="323" spans="1:14" x14ac:dyDescent="0.35">
      <c r="A323" s="2">
        <v>322</v>
      </c>
      <c r="B323" s="2" t="s">
        <v>428</v>
      </c>
      <c r="C323" s="2" t="s">
        <v>754</v>
      </c>
      <c r="D323" s="2" t="s">
        <v>10</v>
      </c>
      <c r="E323" s="2">
        <v>3</v>
      </c>
      <c r="F323" s="2">
        <v>19.140022105163421</v>
      </c>
      <c r="G323" s="2">
        <v>-69.666512809295298</v>
      </c>
      <c r="H323" s="8" t="str">
        <f>HYPERLINK(CONCATENATE("https://faluhong.users.earthengine.app/view/hispaniola-lc-validation#id=PF322;lat=19.140022105163425;lon=-69.6665128092953;year=2000;bf=40;level=18;"), "landsat_time_series")</f>
        <v>landsat_time_series</v>
      </c>
      <c r="I323" s="8" t="str">
        <f>HYPERLINK(CONCATENATE("https://jstnbraaten.users.earthengine.app/view/landsat-timeseries-explorer#run=true;lon=-69.6665128092953;lat=19.140022105163425;from=01-01;to=12-31;index=NBR;rgb=NIR%2FRED%2FGREEN;chipwidth=1;"), "landsat_chips")</f>
        <v>landsat_chips</v>
      </c>
      <c r="J323" s="8" t="str">
        <f>HYPERLINK(CONCATENATE("https://livingatlas.arcgis.com/wayback/#ext=-69.6675128092953,19.141022105163426,-69.6655128092953,19.139022105163424"), "wayback")</f>
        <v>wayback</v>
      </c>
      <c r="K323" s="2" t="s">
        <v>422</v>
      </c>
      <c r="L323" s="5"/>
      <c r="M323" s="5" t="s">
        <v>422</v>
      </c>
      <c r="N323" s="5"/>
    </row>
    <row r="324" spans="1:14" x14ac:dyDescent="0.35">
      <c r="A324" s="2">
        <v>323</v>
      </c>
      <c r="B324" s="2" t="s">
        <v>428</v>
      </c>
      <c r="C324" s="2" t="s">
        <v>755</v>
      </c>
      <c r="D324" s="2" t="s">
        <v>10</v>
      </c>
      <c r="E324" s="2">
        <v>2696</v>
      </c>
      <c r="F324" s="2">
        <v>19.034574186769191</v>
      </c>
      <c r="G324" s="2">
        <v>-70.936551436296142</v>
      </c>
      <c r="H324" s="8" t="str">
        <f>HYPERLINK(CONCATENATE("https://faluhong.users.earthengine.app/view/hispaniola-lc-validation#id=PF323;lat=19.03457418676919;lon=-70.93655143629614;year=2000;bf=40;level=18;"), "landsat_time_series")</f>
        <v>landsat_time_series</v>
      </c>
      <c r="I324" s="8" t="str">
        <f>HYPERLINK(CONCATENATE("https://jstnbraaten.users.earthengine.app/view/landsat-timeseries-explorer#run=true;lon=-70.93655143629614;lat=19.03457418676919;from=01-01;to=12-31;index=NBR;rgb=NIR%2FRED%2FGREEN;chipwidth=1;"), "landsat_chips")</f>
        <v>landsat_chips</v>
      </c>
      <c r="J324" s="8" t="str">
        <f>HYPERLINK(CONCATENATE("https://livingatlas.arcgis.com/wayback/#ext=-70.93755143629615,19.035574186769193,-70.93555143629614,19.03357418676919"), "wayback")</f>
        <v>wayback</v>
      </c>
      <c r="K324" s="2" t="s">
        <v>418</v>
      </c>
      <c r="L324" s="5"/>
      <c r="M324" s="5" t="s">
        <v>418</v>
      </c>
      <c r="N324" s="5" t="s">
        <v>419</v>
      </c>
    </row>
    <row r="325" spans="1:14" x14ac:dyDescent="0.35">
      <c r="A325" s="2">
        <v>324</v>
      </c>
      <c r="B325" s="2" t="s">
        <v>428</v>
      </c>
      <c r="C325" s="2" t="s">
        <v>756</v>
      </c>
      <c r="D325" s="2" t="s">
        <v>10</v>
      </c>
      <c r="E325" s="2">
        <v>1146</v>
      </c>
      <c r="F325" s="2">
        <v>18.97868895587273</v>
      </c>
      <c r="G325" s="2">
        <v>-70.557013550620169</v>
      </c>
      <c r="H325" s="8" t="str">
        <f>HYPERLINK(CONCATENATE("https://faluhong.users.earthengine.app/view/hispaniola-lc-validation#id=PF324;lat=18.978688955872734;lon=-70.55701355062017;year=2000;bf=40;level=18;"), "landsat_time_series")</f>
        <v>landsat_time_series</v>
      </c>
      <c r="I325" s="8" t="str">
        <f>HYPERLINK(CONCATENATE("https://jstnbraaten.users.earthengine.app/view/landsat-timeseries-explorer#run=true;lon=-70.55701355062017;lat=18.978688955872734;from=01-01;to=12-31;index=NBR;rgb=NIR%2FRED%2FGREEN;chipwidth=1;"), "landsat_chips")</f>
        <v>landsat_chips</v>
      </c>
      <c r="J325" s="8" t="str">
        <f>HYPERLINK(CONCATENATE("https://livingatlas.arcgis.com/wayback/#ext=-70.55801355062017,18.979688955872735,-70.55601355062016,18.977688955872733"), "wayback")</f>
        <v>wayback</v>
      </c>
      <c r="K325" s="2" t="s">
        <v>418</v>
      </c>
      <c r="L325" s="5" t="b">
        <v>1</v>
      </c>
      <c r="M325" s="5"/>
      <c r="N325" s="5"/>
    </row>
    <row r="326" spans="1:14" x14ac:dyDescent="0.35">
      <c r="A326" s="2">
        <v>325</v>
      </c>
      <c r="B326" s="2" t="s">
        <v>428</v>
      </c>
      <c r="C326" s="2" t="s">
        <v>757</v>
      </c>
      <c r="D326" s="2" t="s">
        <v>10</v>
      </c>
      <c r="E326" s="2">
        <v>2332</v>
      </c>
      <c r="F326" s="2">
        <v>18.737343908456879</v>
      </c>
      <c r="G326" s="2">
        <v>-70.61630984690035</v>
      </c>
      <c r="H326" s="8" t="str">
        <f>HYPERLINK(CONCATENATE("https://faluhong.users.earthengine.app/view/hispaniola-lc-validation#id=PF325;lat=18.737343908456882;lon=-70.61630984690035;year=2000;bf=40;level=18;"), "landsat_time_series")</f>
        <v>landsat_time_series</v>
      </c>
      <c r="I326" s="8" t="str">
        <f>HYPERLINK(CONCATENATE("https://jstnbraaten.users.earthengine.app/view/landsat-timeseries-explorer#run=true;lon=-70.61630984690035;lat=18.737343908456882;from=01-01;to=12-31;index=NBR;rgb=NIR%2FRED%2FGREEN;chipwidth=1;"), "landsat_chips")</f>
        <v>landsat_chips</v>
      </c>
      <c r="J326" s="8" t="str">
        <f>HYPERLINK(CONCATENATE("https://livingatlas.arcgis.com/wayback/#ext=-70.61730984690035,18.738343908456883,-70.61530984690035,18.73634390845688"), "wayback")</f>
        <v>wayback</v>
      </c>
      <c r="K326" s="2" t="s">
        <v>418</v>
      </c>
      <c r="L326" s="5"/>
      <c r="M326" s="5" t="s">
        <v>418</v>
      </c>
      <c r="N326" s="5" t="s">
        <v>419</v>
      </c>
    </row>
    <row r="327" spans="1:14" x14ac:dyDescent="0.35">
      <c r="A327" s="2">
        <v>326</v>
      </c>
      <c r="B327" s="2" t="s">
        <v>428</v>
      </c>
      <c r="C327" s="2" t="s">
        <v>758</v>
      </c>
      <c r="D327" s="2" t="s">
        <v>10</v>
      </c>
      <c r="E327" s="2">
        <v>1481</v>
      </c>
      <c r="F327" s="2">
        <v>19.025114029658209</v>
      </c>
      <c r="G327" s="2">
        <v>-71.185311120720399</v>
      </c>
      <c r="H327" s="8" t="str">
        <f>HYPERLINK(CONCATENATE("https://faluhong.users.earthengine.app/view/hispaniola-lc-validation#id=PF326;lat=19.02511402965821;lon=-71.1853111207204;year=2000;bf=40;level=18;"), "landsat_time_series")</f>
        <v>landsat_time_series</v>
      </c>
      <c r="I327" s="8" t="str">
        <f>HYPERLINK(CONCATENATE("https://jstnbraaten.users.earthengine.app/view/landsat-timeseries-explorer#run=true;lon=-71.1853111207204;lat=19.02511402965821;from=01-01;to=12-31;index=NBR;rgb=NIR%2FRED%2FGREEN;chipwidth=1;"), "landsat_chips")</f>
        <v>landsat_chips</v>
      </c>
      <c r="J327" s="8" t="str">
        <f>HYPERLINK(CONCATENATE("https://livingatlas.arcgis.com/wayback/#ext=-71.1863111207204,19.02611402965821,-71.1843111207204,19.024114029658207"), "wayback")</f>
        <v>wayback</v>
      </c>
      <c r="K327" s="2" t="s">
        <v>418</v>
      </c>
      <c r="L327" s="5"/>
      <c r="M327" s="5" t="s">
        <v>418</v>
      </c>
      <c r="N327" s="5" t="s">
        <v>420</v>
      </c>
    </row>
    <row r="328" spans="1:14" x14ac:dyDescent="0.35">
      <c r="A328" s="2">
        <v>327</v>
      </c>
      <c r="B328" s="2" t="s">
        <v>428</v>
      </c>
      <c r="C328" s="2" t="s">
        <v>759</v>
      </c>
      <c r="D328" s="2" t="s">
        <v>20</v>
      </c>
      <c r="E328" s="2">
        <v>1755</v>
      </c>
      <c r="F328" s="2">
        <v>18.327377160588512</v>
      </c>
      <c r="G328" s="2">
        <v>-72.185603944861427</v>
      </c>
      <c r="H328" s="8" t="str">
        <f>HYPERLINK(CONCATENATE("https://faluhong.users.earthengine.app/view/hispaniola-lc-validation#id=PF327;lat=18.32737716058851;lon=-72.18560394486143;year=2000;bf=40;level=18;"), "landsat_time_series")</f>
        <v>landsat_time_series</v>
      </c>
      <c r="I328" s="8" t="str">
        <f>HYPERLINK(CONCATENATE("https://jstnbraaten.users.earthengine.app/view/landsat-timeseries-explorer#run=true;lon=-72.18560394486143;lat=18.32737716058851;from=01-01;to=12-31;index=NBR;rgb=NIR%2FRED%2FGREEN;chipwidth=1;"), "landsat_chips")</f>
        <v>landsat_chips</v>
      </c>
      <c r="J328" s="8" t="str">
        <f>HYPERLINK(CONCATENATE("https://livingatlas.arcgis.com/wayback/#ext=-72.18660394486143,18.328377160588513,-72.18460394486142,18.32637716058851"), "wayback")</f>
        <v>wayback</v>
      </c>
      <c r="K328" s="2" t="s">
        <v>422</v>
      </c>
      <c r="L328" s="5"/>
      <c r="M328" s="5" t="s">
        <v>422</v>
      </c>
      <c r="N328" s="5"/>
    </row>
    <row r="329" spans="1:14" x14ac:dyDescent="0.35">
      <c r="A329" s="2">
        <v>328</v>
      </c>
      <c r="B329" s="2" t="s">
        <v>428</v>
      </c>
      <c r="C329" s="2" t="s">
        <v>760</v>
      </c>
      <c r="D329" s="2" t="s">
        <v>10</v>
      </c>
      <c r="E329" s="2">
        <v>421</v>
      </c>
      <c r="F329" s="2">
        <v>19.05813431834558</v>
      </c>
      <c r="G329" s="2">
        <v>-71.626131562155891</v>
      </c>
      <c r="H329" s="8" t="str">
        <f>HYPERLINK(CONCATENATE("https://faluhong.users.earthengine.app/view/hispaniola-lc-validation#id=PF328;lat=19.05813431834558;lon=-71.62613156215589;year=2000;bf=40;level=18;"), "landsat_time_series")</f>
        <v>landsat_time_series</v>
      </c>
      <c r="I329" s="8" t="str">
        <f>HYPERLINK(CONCATENATE("https://jstnbraaten.users.earthengine.app/view/landsat-timeseries-explorer#run=true;lon=-71.62613156215589;lat=19.05813431834558;from=01-01;to=12-31;index=NBR;rgb=NIR%2FRED%2FGREEN;chipwidth=1;"), "landsat_chips")</f>
        <v>landsat_chips</v>
      </c>
      <c r="J329" s="8" t="str">
        <f>HYPERLINK(CONCATENATE("https://livingatlas.arcgis.com/wayback/#ext=-71.6271315621559,19.05913431834558,-71.62513156215589,19.05713431834558"), "wayback")</f>
        <v>wayback</v>
      </c>
      <c r="K329" s="2" t="s">
        <v>422</v>
      </c>
      <c r="L329" s="5"/>
      <c r="M329" s="5" t="s">
        <v>422</v>
      </c>
      <c r="N329" s="5"/>
    </row>
    <row r="330" spans="1:14" x14ac:dyDescent="0.35">
      <c r="A330" s="2">
        <v>329</v>
      </c>
      <c r="B330" s="2" t="s">
        <v>428</v>
      </c>
      <c r="C330" s="2" t="s">
        <v>761</v>
      </c>
      <c r="D330" s="2" t="s">
        <v>10</v>
      </c>
      <c r="E330" s="2">
        <v>10</v>
      </c>
      <c r="F330" s="2">
        <v>18.748419178539869</v>
      </c>
      <c r="G330" s="2">
        <v>-68.518984178922224</v>
      </c>
      <c r="H330" s="8" t="str">
        <f>HYPERLINK(CONCATENATE("https://faluhong.users.earthengine.app/view/hispaniola-lc-validation#id=PF329;lat=18.748419178539866;lon=-68.51898417892222;year=2000;bf=40;level=18;"), "landsat_time_series")</f>
        <v>landsat_time_series</v>
      </c>
      <c r="I330" s="8" t="str">
        <f>HYPERLINK(CONCATENATE("https://jstnbraaten.users.earthengine.app/view/landsat-timeseries-explorer#run=true;lon=-68.51898417892222;lat=18.748419178539866;from=01-01;to=12-31;index=NBR;rgb=NIR%2FRED%2FGREEN;chipwidth=1;"), "landsat_chips")</f>
        <v>landsat_chips</v>
      </c>
      <c r="J330" s="8" t="str">
        <f>HYPERLINK(CONCATENATE("https://livingatlas.arcgis.com/wayback/#ext=-68.51998417892223,18.749419178539867,-68.51798417892222,18.747419178539865"), "wayback")</f>
        <v>wayback</v>
      </c>
      <c r="K330" s="2" t="s">
        <v>418</v>
      </c>
      <c r="L330" s="5"/>
      <c r="M330" s="5" t="s">
        <v>418</v>
      </c>
      <c r="N330" s="5" t="s">
        <v>922</v>
      </c>
    </row>
    <row r="331" spans="1:14" x14ac:dyDescent="0.35">
      <c r="A331" s="2">
        <v>330</v>
      </c>
      <c r="B331" s="2" t="s">
        <v>428</v>
      </c>
      <c r="C331" s="2" t="s">
        <v>762</v>
      </c>
      <c r="D331" s="2" t="s">
        <v>20</v>
      </c>
      <c r="E331" s="2">
        <v>887</v>
      </c>
      <c r="F331" s="2">
        <v>18.401639172217301</v>
      </c>
      <c r="G331" s="2">
        <v>-73.850337442608506</v>
      </c>
      <c r="H331" s="8" t="str">
        <f>HYPERLINK(CONCATENATE("https://faluhong.users.earthengine.app/view/hispaniola-lc-validation#id=PF330;lat=18.4016391722173;lon=-73.8503374426085;year=2000;bf=40;level=18;"), "landsat_time_series")</f>
        <v>landsat_time_series</v>
      </c>
      <c r="I331" s="8" t="str">
        <f>HYPERLINK(CONCATENATE("https://jstnbraaten.users.earthengine.app/view/landsat-timeseries-explorer#run=true;lon=-73.8503374426085;lat=18.4016391722173;from=01-01;to=12-31;index=NBR;rgb=NIR%2FRED%2FGREEN;chipwidth=1;"), "landsat_chips")</f>
        <v>landsat_chips</v>
      </c>
      <c r="J331" s="8" t="str">
        <f>HYPERLINK(CONCATENATE("https://livingatlas.arcgis.com/wayback/#ext=-73.85133744260851,18.402639172217302,-73.8493374426085,18.4006391722173"), "wayback")</f>
        <v>wayback</v>
      </c>
      <c r="K331" s="2" t="s">
        <v>422</v>
      </c>
      <c r="L331" s="5"/>
      <c r="M331" s="5" t="s">
        <v>422</v>
      </c>
      <c r="N331" s="5"/>
    </row>
    <row r="332" spans="1:14" x14ac:dyDescent="0.35">
      <c r="A332" s="2">
        <v>331</v>
      </c>
      <c r="B332" s="2" t="s">
        <v>428</v>
      </c>
      <c r="C332" s="2" t="s">
        <v>763</v>
      </c>
      <c r="D332" s="2" t="s">
        <v>10</v>
      </c>
      <c r="E332" s="2">
        <v>71</v>
      </c>
      <c r="F332" s="2">
        <v>19.04625525590053</v>
      </c>
      <c r="G332" s="2">
        <v>-70.020531387151692</v>
      </c>
      <c r="H332" s="8" t="str">
        <f>HYPERLINK(CONCATENATE("https://faluhong.users.earthengine.app/view/hispaniola-lc-validation#id=PF331;lat=19.046255255900533;lon=-70.02053138715169;year=2000;bf=40;level=18;"), "landsat_time_series")</f>
        <v>landsat_time_series</v>
      </c>
      <c r="I332" s="8" t="str">
        <f>HYPERLINK(CONCATENATE("https://jstnbraaten.users.earthengine.app/view/landsat-timeseries-explorer#run=true;lon=-70.02053138715169;lat=19.046255255900533;from=01-01;to=12-31;index=NBR;rgb=NIR%2FRED%2FGREEN;chipwidth=1;"), "landsat_chips")</f>
        <v>landsat_chips</v>
      </c>
      <c r="J332" s="8" t="str">
        <f>HYPERLINK(CONCATENATE("https://livingatlas.arcgis.com/wayback/#ext=-70.0215313871517,19.047255255900534,-70.01953138715169,19.045255255900532"), "wayback")</f>
        <v>wayback</v>
      </c>
      <c r="K332" s="2" t="s">
        <v>422</v>
      </c>
      <c r="L332" s="5"/>
      <c r="M332" s="5" t="s">
        <v>422</v>
      </c>
      <c r="N332" s="5"/>
    </row>
    <row r="333" spans="1:14" x14ac:dyDescent="0.35">
      <c r="A333" s="2">
        <v>332</v>
      </c>
      <c r="B333" s="2" t="s">
        <v>428</v>
      </c>
      <c r="C333" s="2" t="s">
        <v>764</v>
      </c>
      <c r="D333" s="2" t="s">
        <v>10</v>
      </c>
      <c r="E333" s="2">
        <v>1546</v>
      </c>
      <c r="F333" s="2">
        <v>18.98420616391855</v>
      </c>
      <c r="G333" s="2">
        <v>-70.933072749862063</v>
      </c>
      <c r="H333" s="8" t="str">
        <f>HYPERLINK(CONCATENATE("https://faluhong.users.earthengine.app/view/hispaniola-lc-validation#id=PF332;lat=18.984206163918547;lon=-70.93307274986206;year=2000;bf=40;level=18;"), "landsat_time_series")</f>
        <v>landsat_time_series</v>
      </c>
      <c r="I333" s="8" t="str">
        <f>HYPERLINK(CONCATENATE("https://jstnbraaten.users.earthengine.app/view/landsat-timeseries-explorer#run=true;lon=-70.93307274986206;lat=18.984206163918547;from=01-01;to=12-31;index=NBR;rgb=NIR%2FRED%2FGREEN;chipwidth=1;"), "landsat_chips")</f>
        <v>landsat_chips</v>
      </c>
      <c r="J333" s="8" t="str">
        <f>HYPERLINK(CONCATENATE("https://livingatlas.arcgis.com/wayback/#ext=-70.93407274986207,18.985206163918548,-70.93207274986206,18.983206163918545"), "wayback")</f>
        <v>wayback</v>
      </c>
      <c r="K333" s="2" t="s">
        <v>418</v>
      </c>
      <c r="L333" s="5"/>
      <c r="M333" s="5" t="s">
        <v>418</v>
      </c>
      <c r="N333" s="5" t="s">
        <v>419</v>
      </c>
    </row>
    <row r="334" spans="1:14" x14ac:dyDescent="0.35">
      <c r="A334" s="2">
        <v>333</v>
      </c>
      <c r="B334" s="2" t="s">
        <v>428</v>
      </c>
      <c r="C334" s="2" t="s">
        <v>765</v>
      </c>
      <c r="D334" s="2" t="s">
        <v>20</v>
      </c>
      <c r="E334" s="2">
        <v>194</v>
      </c>
      <c r="F334" s="2">
        <v>18.29589222054252</v>
      </c>
      <c r="G334" s="2">
        <v>-73.178319474064466</v>
      </c>
      <c r="H334" s="8" t="str">
        <f>HYPERLINK(CONCATENATE("https://faluhong.users.earthengine.app/view/hispaniola-lc-validation#id=PF333;lat=18.295892220542523;lon=-73.17831947406447;year=2000;bf=40;level=18;"), "landsat_time_series")</f>
        <v>landsat_time_series</v>
      </c>
      <c r="I334" s="8" t="str">
        <f>HYPERLINK(CONCATENATE("https://jstnbraaten.users.earthengine.app/view/landsat-timeseries-explorer#run=true;lon=-73.17831947406447;lat=18.295892220542523;from=01-01;to=12-31;index=NBR;rgb=NIR%2FRED%2FGREEN;chipwidth=1;"), "landsat_chips")</f>
        <v>landsat_chips</v>
      </c>
      <c r="J334" s="8" t="str">
        <f>HYPERLINK(CONCATENATE("https://livingatlas.arcgis.com/wayback/#ext=-73.17931947406447,18.296892220542524,-73.17731947406446,18.294892220542522"), "wayback")</f>
        <v>wayback</v>
      </c>
      <c r="K334" s="2" t="s">
        <v>422</v>
      </c>
      <c r="L334" s="5"/>
      <c r="M334" s="5" t="s">
        <v>422</v>
      </c>
      <c r="N334" s="5"/>
    </row>
    <row r="335" spans="1:14" x14ac:dyDescent="0.35">
      <c r="A335" s="2">
        <v>334</v>
      </c>
      <c r="B335" s="2" t="s">
        <v>428</v>
      </c>
      <c r="C335" s="2" t="s">
        <v>766</v>
      </c>
      <c r="D335" s="2" t="s">
        <v>10</v>
      </c>
      <c r="E335" s="2">
        <v>32</v>
      </c>
      <c r="F335" s="2">
        <v>19.81488487623006</v>
      </c>
      <c r="G335" s="2">
        <v>-70.77804527118812</v>
      </c>
      <c r="H335" s="8" t="str">
        <f>HYPERLINK(CONCATENATE("https://faluhong.users.earthengine.app/view/hispaniola-lc-validation#id=PF334;lat=19.814884876230057;lon=-70.77804527118812;year=2000;bf=40;level=18;"), "landsat_time_series")</f>
        <v>landsat_time_series</v>
      </c>
      <c r="I335" s="8" t="str">
        <f>HYPERLINK(CONCATENATE("https://jstnbraaten.users.earthengine.app/view/landsat-timeseries-explorer#run=true;lon=-70.77804527118812;lat=19.814884876230057;from=01-01;to=12-31;index=NBR;rgb=NIR%2FRED%2FGREEN;chipwidth=1;"), "landsat_chips")</f>
        <v>landsat_chips</v>
      </c>
      <c r="J335" s="8" t="str">
        <f>HYPERLINK(CONCATENATE("https://livingatlas.arcgis.com/wayback/#ext=-70.77904527118812,19.815884876230058,-70.77704527118811,19.813884876230055"), "wayback")</f>
        <v>wayback</v>
      </c>
      <c r="K335" s="2" t="s">
        <v>422</v>
      </c>
      <c r="L335" s="5"/>
      <c r="M335" s="5" t="s">
        <v>422</v>
      </c>
      <c r="N335" s="5"/>
    </row>
    <row r="336" spans="1:14" x14ac:dyDescent="0.35">
      <c r="A336" s="2">
        <v>335</v>
      </c>
      <c r="B336" s="2" t="s">
        <v>428</v>
      </c>
      <c r="C336" s="2" t="s">
        <v>767</v>
      </c>
      <c r="D336" s="2" t="s">
        <v>10</v>
      </c>
      <c r="E336" s="2">
        <v>2287</v>
      </c>
      <c r="F336" s="2">
        <v>19.098856793139571</v>
      </c>
      <c r="G336" s="2">
        <v>-71.1351634827749</v>
      </c>
      <c r="H336" s="8" t="str">
        <f>HYPERLINK(CONCATENATE("https://faluhong.users.earthengine.app/view/hispaniola-lc-validation#id=PF335;lat=19.09885679313957;lon=-71.1351634827749;year=2000;bf=40;level=18;"), "landsat_time_series")</f>
        <v>landsat_time_series</v>
      </c>
      <c r="I336" s="8" t="str">
        <f>HYPERLINK(CONCATENATE("https://jstnbraaten.users.earthengine.app/view/landsat-timeseries-explorer#run=true;lon=-71.1351634827749;lat=19.09885679313957;from=01-01;to=12-31;index=NBR;rgb=NIR%2FRED%2FGREEN;chipwidth=1;"), "landsat_chips")</f>
        <v>landsat_chips</v>
      </c>
      <c r="J336" s="8" t="str">
        <f>HYPERLINK(CONCATENATE("https://livingatlas.arcgis.com/wayback/#ext=-71.1361634827749,19.099856793139573,-71.1341634827749,19.09785679313957"), "wayback")</f>
        <v>wayback</v>
      </c>
      <c r="K336" s="2" t="s">
        <v>418</v>
      </c>
      <c r="L336" s="5"/>
      <c r="M336" s="5" t="s">
        <v>422</v>
      </c>
      <c r="N336" s="5"/>
    </row>
    <row r="337" spans="1:14" x14ac:dyDescent="0.35">
      <c r="A337" s="2">
        <v>336</v>
      </c>
      <c r="B337" s="2" t="s">
        <v>428</v>
      </c>
      <c r="C337" s="2" t="s">
        <v>768</v>
      </c>
      <c r="D337" s="2" t="s">
        <v>10</v>
      </c>
      <c r="E337" s="2">
        <v>10</v>
      </c>
      <c r="F337" s="2">
        <v>18.426129457331282</v>
      </c>
      <c r="G337" s="2">
        <v>-69.184156108074404</v>
      </c>
      <c r="H337" s="8" t="str">
        <f>HYPERLINK(CONCATENATE("https://faluhong.users.earthengine.app/view/hispaniola-lc-validation#id=PF336;lat=18.426129457331278;lon=-69.1841561080744;year=2000;bf=40;level=18;"), "landsat_time_series")</f>
        <v>landsat_time_series</v>
      </c>
      <c r="I337" s="8" t="str">
        <f>HYPERLINK(CONCATENATE("https://jstnbraaten.users.earthengine.app/view/landsat-timeseries-explorer#run=true;lon=-69.1841561080744;lat=18.426129457331278;from=01-01;to=12-31;index=NBR;rgb=NIR%2FRED%2FGREEN;chipwidth=1;"), "landsat_chips")</f>
        <v>landsat_chips</v>
      </c>
      <c r="J337" s="8" t="str">
        <f>HYPERLINK(CONCATENATE("https://livingatlas.arcgis.com/wayback/#ext=-69.18515610807441,18.42712945733128,-69.1831561080744,18.425129457331277"), "wayback")</f>
        <v>wayback</v>
      </c>
      <c r="K337" s="2" t="s">
        <v>422</v>
      </c>
      <c r="L337" s="5"/>
      <c r="M337" s="5" t="s">
        <v>422</v>
      </c>
      <c r="N337" s="5"/>
    </row>
    <row r="338" spans="1:14" x14ac:dyDescent="0.35">
      <c r="A338" s="2">
        <v>337</v>
      </c>
      <c r="B338" s="2" t="s">
        <v>428</v>
      </c>
      <c r="C338" s="2" t="s">
        <v>769</v>
      </c>
      <c r="D338" s="2" t="s">
        <v>10</v>
      </c>
      <c r="E338" s="2">
        <v>68</v>
      </c>
      <c r="F338" s="2">
        <v>19.2385005675307</v>
      </c>
      <c r="G338" s="2">
        <v>-70.156857807964869</v>
      </c>
      <c r="H338" s="8" t="str">
        <f>HYPERLINK(CONCATENATE("https://faluhong.users.earthengine.app/view/hispaniola-lc-validation#id=PF337;lat=19.238500567530703;lon=-70.15685780796487;year=2000;bf=40;level=18;"), "landsat_time_series")</f>
        <v>landsat_time_series</v>
      </c>
      <c r="I338" s="8" t="str">
        <f>HYPERLINK(CONCATENATE("https://jstnbraaten.users.earthengine.app/view/landsat-timeseries-explorer#run=true;lon=-70.15685780796487;lat=19.238500567530703;from=01-01;to=12-31;index=NBR;rgb=NIR%2FRED%2FGREEN;chipwidth=1;"), "landsat_chips")</f>
        <v>landsat_chips</v>
      </c>
      <c r="J338" s="8" t="str">
        <f>HYPERLINK(CONCATENATE("https://livingatlas.arcgis.com/wayback/#ext=-70.15785780796487,19.239500567530705,-70.15585780796486,19.237500567530702"), "wayback")</f>
        <v>wayback</v>
      </c>
      <c r="K338" s="2" t="s">
        <v>422</v>
      </c>
      <c r="L338" s="5"/>
      <c r="M338" s="5" t="s">
        <v>422</v>
      </c>
      <c r="N338" s="5"/>
    </row>
    <row r="339" spans="1:14" x14ac:dyDescent="0.35">
      <c r="A339" s="2">
        <v>338</v>
      </c>
      <c r="B339" s="2" t="s">
        <v>428</v>
      </c>
      <c r="C339" s="2" t="s">
        <v>770</v>
      </c>
      <c r="D339" s="2" t="s">
        <v>20</v>
      </c>
      <c r="E339" s="2">
        <v>164</v>
      </c>
      <c r="F339" s="2">
        <v>18.883365567775201</v>
      </c>
      <c r="G339" s="2">
        <v>-72.232284274441056</v>
      </c>
      <c r="H339" s="8" t="str">
        <f>HYPERLINK(CONCATENATE("https://faluhong.users.earthengine.app/view/hispaniola-lc-validation#id=PF338;lat=18.883365567775204;lon=-72.23228427444106;year=2000;bf=40;level=18;"), "landsat_time_series")</f>
        <v>landsat_time_series</v>
      </c>
      <c r="I339" s="8" t="str">
        <f>HYPERLINK(CONCATENATE("https://jstnbraaten.users.earthengine.app/view/landsat-timeseries-explorer#run=true;lon=-72.23228427444106;lat=18.883365567775204;from=01-01;to=12-31;index=NBR;rgb=NIR%2FRED%2FGREEN;chipwidth=1;"), "landsat_chips")</f>
        <v>landsat_chips</v>
      </c>
      <c r="J339" s="8" t="str">
        <f>HYPERLINK(CONCATENATE("https://livingatlas.arcgis.com/wayback/#ext=-72.23328427444106,18.884365567775205,-72.23128427444105,18.882365567775203"), "wayback")</f>
        <v>wayback</v>
      </c>
      <c r="K339" s="2" t="s">
        <v>422</v>
      </c>
      <c r="L339" s="5"/>
      <c r="M339" s="5" t="s">
        <v>422</v>
      </c>
      <c r="N339" s="5"/>
    </row>
    <row r="340" spans="1:14" x14ac:dyDescent="0.35">
      <c r="A340" s="2">
        <v>339</v>
      </c>
      <c r="B340" s="2" t="s">
        <v>428</v>
      </c>
      <c r="C340" s="2" t="s">
        <v>771</v>
      </c>
      <c r="D340" s="2" t="s">
        <v>20</v>
      </c>
      <c r="E340" s="2">
        <v>98</v>
      </c>
      <c r="F340" s="2">
        <v>19.67333933179351</v>
      </c>
      <c r="G340" s="2">
        <v>-73.094025748786152</v>
      </c>
      <c r="H340" s="8" t="str">
        <f>HYPERLINK(CONCATENATE("https://faluhong.users.earthengine.app/view/hispaniola-lc-validation#id=PF339;lat=19.673339331793514;lon=-73.09402574878615;year=2000;bf=40;level=18;"), "landsat_time_series")</f>
        <v>landsat_time_series</v>
      </c>
      <c r="I340" s="8" t="str">
        <f>HYPERLINK(CONCATENATE("https://jstnbraaten.users.earthengine.app/view/landsat-timeseries-explorer#run=true;lon=-73.09402574878615;lat=19.673339331793514;from=01-01;to=12-31;index=NBR;rgb=NIR%2FRED%2FGREEN;chipwidth=1;"), "landsat_chips")</f>
        <v>landsat_chips</v>
      </c>
      <c r="J340" s="8" t="str">
        <f>HYPERLINK(CONCATENATE("https://livingatlas.arcgis.com/wayback/#ext=-73.09502574878616,19.674339331793515,-73.09302574878615,19.672339331793513"), "wayback")</f>
        <v>wayback</v>
      </c>
      <c r="K340" s="2" t="s">
        <v>422</v>
      </c>
      <c r="L340" s="5"/>
      <c r="M340" s="5" t="s">
        <v>422</v>
      </c>
      <c r="N340" s="5"/>
    </row>
    <row r="341" spans="1:14" x14ac:dyDescent="0.35">
      <c r="A341" s="2">
        <v>340</v>
      </c>
      <c r="B341" s="2" t="s">
        <v>428</v>
      </c>
      <c r="C341" s="2" t="s">
        <v>772</v>
      </c>
      <c r="D341" s="2" t="s">
        <v>10</v>
      </c>
      <c r="E341" s="2">
        <v>110</v>
      </c>
      <c r="F341" s="2">
        <v>19.534110512602929</v>
      </c>
      <c r="G341" s="2">
        <v>-71.571529755670525</v>
      </c>
      <c r="H341" s="8" t="str">
        <f>HYPERLINK(CONCATENATE("https://faluhong.users.earthengine.app/view/hispaniola-lc-validation#id=PF340;lat=19.53411051260293;lon=-71.57152975567053;year=2000;bf=40;level=18;"), "landsat_time_series")</f>
        <v>landsat_time_series</v>
      </c>
      <c r="I341" s="8" t="str">
        <f>HYPERLINK(CONCATENATE("https://jstnbraaten.users.earthengine.app/view/landsat-timeseries-explorer#run=true;lon=-71.57152975567053;lat=19.53411051260293;from=01-01;to=12-31;index=NBR;rgb=NIR%2FRED%2FGREEN;chipwidth=1;"), "landsat_chips")</f>
        <v>landsat_chips</v>
      </c>
      <c r="J341" s="8" t="str">
        <f>HYPERLINK(CONCATENATE("https://livingatlas.arcgis.com/wayback/#ext=-71.57252975567053,19.53511051260293,-71.57052975567052,19.533110512602928"), "wayback")</f>
        <v>wayback</v>
      </c>
      <c r="K341" s="2" t="s">
        <v>422</v>
      </c>
      <c r="L341" s="5"/>
      <c r="M341" s="5" t="s">
        <v>422</v>
      </c>
      <c r="N341" s="5"/>
    </row>
    <row r="342" spans="1:14" x14ac:dyDescent="0.35">
      <c r="A342" s="2">
        <v>341</v>
      </c>
      <c r="B342" s="2" t="s">
        <v>428</v>
      </c>
      <c r="C342" s="2" t="s">
        <v>773</v>
      </c>
      <c r="D342" s="2" t="s">
        <v>10</v>
      </c>
      <c r="E342" s="2">
        <v>27</v>
      </c>
      <c r="F342" s="2">
        <v>19.45888286669366</v>
      </c>
      <c r="G342" s="2">
        <v>-70.004610178151196</v>
      </c>
      <c r="H342" s="8" t="str">
        <f>HYPERLINK(CONCATENATE("https://faluhong.users.earthengine.app/view/hispaniola-lc-validation#id=PF341;lat=19.45888286669366;lon=-70.0046101781512;year=2000;bf=40;level=18;"), "landsat_time_series")</f>
        <v>landsat_time_series</v>
      </c>
      <c r="I342" s="8" t="str">
        <f>HYPERLINK(CONCATENATE("https://jstnbraaten.users.earthengine.app/view/landsat-timeseries-explorer#run=true;lon=-70.0046101781512;lat=19.45888286669366;from=01-01;to=12-31;index=NBR;rgb=NIR%2FRED%2FGREEN;chipwidth=1;"), "landsat_chips")</f>
        <v>landsat_chips</v>
      </c>
      <c r="J342" s="8" t="str">
        <f>HYPERLINK(CONCATENATE("https://livingatlas.arcgis.com/wayback/#ext=-70.0056101781512,19.45988286669366,-70.00361017815119,19.45788286669366"), "wayback")</f>
        <v>wayback</v>
      </c>
      <c r="K342" s="2" t="s">
        <v>422</v>
      </c>
      <c r="L342" s="5"/>
      <c r="M342" s="5" t="s">
        <v>422</v>
      </c>
      <c r="N342" s="5"/>
    </row>
    <row r="343" spans="1:14" x14ac:dyDescent="0.35">
      <c r="A343" s="2">
        <v>342</v>
      </c>
      <c r="B343" s="2" t="s">
        <v>428</v>
      </c>
      <c r="C343" s="2" t="s">
        <v>774</v>
      </c>
      <c r="D343" s="2" t="s">
        <v>10</v>
      </c>
      <c r="E343" s="2">
        <v>84</v>
      </c>
      <c r="F343" s="2">
        <v>18.833674239118441</v>
      </c>
      <c r="G343" s="2">
        <v>-68.704498319783525</v>
      </c>
      <c r="H343" s="8" t="str">
        <f>HYPERLINK(CONCATENATE("https://faluhong.users.earthengine.app/view/hispaniola-lc-validation#id=PF342;lat=18.833674239118437;lon=-68.70449831978353;year=2000;bf=40;level=18;"), "landsat_time_series")</f>
        <v>landsat_time_series</v>
      </c>
      <c r="I343" s="8" t="str">
        <f>HYPERLINK(CONCATENATE("https://jstnbraaten.users.earthengine.app/view/landsat-timeseries-explorer#run=true;lon=-68.70449831978353;lat=18.833674239118437;from=01-01;to=12-31;index=NBR;rgb=NIR%2FRED%2FGREEN;chipwidth=1;"), "landsat_chips")</f>
        <v>landsat_chips</v>
      </c>
      <c r="J343" s="8" t="str">
        <f>HYPERLINK(CONCATENATE("https://livingatlas.arcgis.com/wayback/#ext=-68.70549831978353,18.83467423911844,-68.70349831978352,18.832674239118436"), "wayback")</f>
        <v>wayback</v>
      </c>
      <c r="K343" s="2" t="s">
        <v>422</v>
      </c>
      <c r="L343" s="5"/>
      <c r="M343" s="5" t="s">
        <v>422</v>
      </c>
      <c r="N343" s="5"/>
    </row>
    <row r="344" spans="1:14" x14ac:dyDescent="0.35">
      <c r="A344" s="2">
        <v>343</v>
      </c>
      <c r="B344" s="2" t="s">
        <v>428</v>
      </c>
      <c r="C344" s="2" t="s">
        <v>775</v>
      </c>
      <c r="D344" s="2" t="s">
        <v>10</v>
      </c>
      <c r="E344" s="2">
        <v>200</v>
      </c>
      <c r="F344" s="2">
        <v>18.850877016392381</v>
      </c>
      <c r="G344" s="2">
        <v>-69.144163833238807</v>
      </c>
      <c r="H344" s="8" t="str">
        <f>HYPERLINK(CONCATENATE("https://faluhong.users.earthengine.app/view/hispaniola-lc-validation#id=PF343;lat=18.850877016392378;lon=-69.1441638332388;year=2000;bf=40;level=18;"), "landsat_time_series")</f>
        <v>landsat_time_series</v>
      </c>
      <c r="I344" s="8" t="str">
        <f>HYPERLINK(CONCATENATE("https://jstnbraaten.users.earthengine.app/view/landsat-timeseries-explorer#run=true;lon=-69.1441638332388;lat=18.850877016392378;from=01-01;to=12-31;index=NBR;rgb=NIR%2FRED%2FGREEN;chipwidth=1;"), "landsat_chips")</f>
        <v>landsat_chips</v>
      </c>
      <c r="J344" s="8" t="str">
        <f>HYPERLINK(CONCATENATE("https://livingatlas.arcgis.com/wayback/#ext=-69.14516383323881,18.85187701639238,-69.1431638332388,18.849877016392377"), "wayback")</f>
        <v>wayback</v>
      </c>
      <c r="K344" s="2" t="s">
        <v>422</v>
      </c>
      <c r="L344" s="5"/>
      <c r="M344" s="5" t="s">
        <v>422</v>
      </c>
      <c r="N344" s="5"/>
    </row>
    <row r="345" spans="1:14" x14ac:dyDescent="0.35">
      <c r="A345" s="2">
        <v>344</v>
      </c>
      <c r="B345" s="2" t="s">
        <v>428</v>
      </c>
      <c r="C345" s="2" t="s">
        <v>776</v>
      </c>
      <c r="D345" s="2" t="s">
        <v>10</v>
      </c>
      <c r="E345" s="2">
        <v>108</v>
      </c>
      <c r="F345" s="2">
        <v>18.301169173318041</v>
      </c>
      <c r="G345" s="2">
        <v>-70.412122054297356</v>
      </c>
      <c r="H345" s="8" t="str">
        <f>HYPERLINK(CONCATENATE("https://faluhong.users.earthengine.app/view/hispaniola-lc-validation#id=PF344;lat=18.301169173318044;lon=-70.41212205429736;year=2000;bf=40;level=18;"), "landsat_time_series")</f>
        <v>landsat_time_series</v>
      </c>
      <c r="I345" s="8" t="str">
        <f>HYPERLINK(CONCATENATE("https://jstnbraaten.users.earthengine.app/view/landsat-timeseries-explorer#run=true;lon=-70.41212205429736;lat=18.301169173318044;from=01-01;to=12-31;index=NBR;rgb=NIR%2FRED%2FGREEN;chipwidth=1;"), "landsat_chips")</f>
        <v>landsat_chips</v>
      </c>
      <c r="J345" s="8" t="str">
        <f>HYPERLINK(CONCATENATE("https://livingatlas.arcgis.com/wayback/#ext=-70.41312205429736,18.302169173318045,-70.41112205429735,18.300169173318043"), "wayback")</f>
        <v>wayback</v>
      </c>
      <c r="K345" s="2" t="s">
        <v>422</v>
      </c>
      <c r="L345" s="5"/>
      <c r="M345" s="5" t="s">
        <v>422</v>
      </c>
      <c r="N345" s="5"/>
    </row>
    <row r="346" spans="1:14" x14ac:dyDescent="0.35">
      <c r="A346" s="2">
        <v>345</v>
      </c>
      <c r="B346" s="2" t="s">
        <v>428</v>
      </c>
      <c r="C346" s="2" t="s">
        <v>777</v>
      </c>
      <c r="D346" s="2" t="s">
        <v>10</v>
      </c>
      <c r="E346" s="2">
        <v>51</v>
      </c>
      <c r="F346" s="2">
        <v>18.51525661490605</v>
      </c>
      <c r="G346" s="2">
        <v>-69.257351840944636</v>
      </c>
      <c r="H346" s="8" t="str">
        <f>HYPERLINK(CONCATENATE("https://faluhong.users.earthengine.app/view/hispaniola-lc-validation#id=PF345;lat=18.515256614906047;lon=-69.25735184094464;year=2000;bf=40;level=18;"), "landsat_time_series")</f>
        <v>landsat_time_series</v>
      </c>
      <c r="I346" s="8" t="str">
        <f>HYPERLINK(CONCATENATE("https://jstnbraaten.users.earthengine.app/view/landsat-timeseries-explorer#run=true;lon=-69.25735184094464;lat=18.515256614906047;from=01-01;to=12-31;index=NBR;rgb=NIR%2FRED%2FGREEN;chipwidth=1;"), "landsat_chips")</f>
        <v>landsat_chips</v>
      </c>
      <c r="J346" s="8" t="str">
        <f>HYPERLINK(CONCATENATE("https://livingatlas.arcgis.com/wayback/#ext=-69.25835184094464,18.516256614906048,-69.25635184094463,18.514256614906046"), "wayback")</f>
        <v>wayback</v>
      </c>
      <c r="K346" s="2" t="s">
        <v>422</v>
      </c>
      <c r="L346" s="5"/>
      <c r="M346" s="5" t="s">
        <v>422</v>
      </c>
      <c r="N346" s="5"/>
    </row>
    <row r="347" spans="1:14" x14ac:dyDescent="0.35">
      <c r="A347" s="2">
        <v>346</v>
      </c>
      <c r="B347" s="2" t="s">
        <v>428</v>
      </c>
      <c r="C347" s="2" t="s">
        <v>778</v>
      </c>
      <c r="D347" s="2" t="s">
        <v>10</v>
      </c>
      <c r="E347" s="2">
        <v>598</v>
      </c>
      <c r="F347" s="2">
        <v>19.315303910894091</v>
      </c>
      <c r="G347" s="2">
        <v>-71.056068129134061</v>
      </c>
      <c r="H347" s="8" t="str">
        <f>HYPERLINK(CONCATENATE("https://faluhong.users.earthengine.app/view/hispaniola-lc-validation#id=PF346;lat=19.31530391089409;lon=-71.05606812913406;year=2000;bf=40;level=18;"), "landsat_time_series")</f>
        <v>landsat_time_series</v>
      </c>
      <c r="I347" s="8" t="str">
        <f>HYPERLINK(CONCATENATE("https://jstnbraaten.users.earthengine.app/view/landsat-timeseries-explorer#run=true;lon=-71.05606812913406;lat=19.31530391089409;from=01-01;to=12-31;index=NBR;rgb=NIR%2FRED%2FGREEN;chipwidth=1;"), "landsat_chips")</f>
        <v>landsat_chips</v>
      </c>
      <c r="J347" s="8" t="str">
        <f>HYPERLINK(CONCATENATE("https://livingatlas.arcgis.com/wayback/#ext=-71.05706812913407,19.316303910894092,-71.05506812913406,19.31430391089409"), "wayback")</f>
        <v>wayback</v>
      </c>
      <c r="K347" s="2" t="s">
        <v>422</v>
      </c>
      <c r="L347" s="5"/>
      <c r="M347" s="5" t="s">
        <v>422</v>
      </c>
      <c r="N347" s="5"/>
    </row>
    <row r="348" spans="1:14" x14ac:dyDescent="0.35">
      <c r="A348" s="2">
        <v>347</v>
      </c>
      <c r="B348" s="2" t="s">
        <v>428</v>
      </c>
      <c r="C348" s="2" t="s">
        <v>779</v>
      </c>
      <c r="D348" s="2" t="s">
        <v>10</v>
      </c>
      <c r="E348" s="2">
        <v>1900</v>
      </c>
      <c r="F348" s="2">
        <v>19.001878198159929</v>
      </c>
      <c r="G348" s="2">
        <v>-71.022733133575585</v>
      </c>
      <c r="H348" s="8" t="str">
        <f>HYPERLINK(CONCATENATE("https://faluhong.users.earthengine.app/view/hispaniola-lc-validation#id=PF347;lat=19.00187819815993;lon=-71.02273313357558;year=2000;bf=40;level=18;"), "landsat_time_series")</f>
        <v>landsat_time_series</v>
      </c>
      <c r="I348" s="8" t="str">
        <f>HYPERLINK(CONCATENATE("https://jstnbraaten.users.earthengine.app/view/landsat-timeseries-explorer#run=true;lon=-71.02273313357558;lat=19.00187819815993;from=01-01;to=12-31;index=NBR;rgb=NIR%2FRED%2FGREEN;chipwidth=1;"), "landsat_chips")</f>
        <v>landsat_chips</v>
      </c>
      <c r="J348" s="8" t="str">
        <f>HYPERLINK(CONCATENATE("https://livingatlas.arcgis.com/wayback/#ext=-71.02373313357559,19.00287819815993,-71.02173313357558,19.000878198159928"), "wayback")</f>
        <v>wayback</v>
      </c>
      <c r="K348" s="2" t="s">
        <v>418</v>
      </c>
      <c r="L348" s="5"/>
      <c r="M348" s="5" t="s">
        <v>418</v>
      </c>
      <c r="N348" s="5" t="s">
        <v>419</v>
      </c>
    </row>
    <row r="349" spans="1:14" x14ac:dyDescent="0.35">
      <c r="A349" s="2">
        <v>348</v>
      </c>
      <c r="B349" s="2" t="s">
        <v>428</v>
      </c>
      <c r="C349" s="2" t="s">
        <v>780</v>
      </c>
      <c r="D349" s="2" t="s">
        <v>20</v>
      </c>
      <c r="E349" s="2">
        <v>530</v>
      </c>
      <c r="F349" s="2">
        <v>18.391197835637659</v>
      </c>
      <c r="G349" s="2">
        <v>-73.563139326993209</v>
      </c>
      <c r="H349" s="8" t="str">
        <f>HYPERLINK(CONCATENATE("https://faluhong.users.earthengine.app/view/hispaniola-lc-validation#id=PF348;lat=18.39119783563766;lon=-73.56313932699321;year=2000;bf=40;level=18;"), "landsat_time_series")</f>
        <v>landsat_time_series</v>
      </c>
      <c r="I349" s="8" t="str">
        <f>HYPERLINK(CONCATENATE("https://jstnbraaten.users.earthengine.app/view/landsat-timeseries-explorer#run=true;lon=-73.56313932699321;lat=18.39119783563766;from=01-01;to=12-31;index=NBR;rgb=NIR%2FRED%2FGREEN;chipwidth=1;"), "landsat_chips")</f>
        <v>landsat_chips</v>
      </c>
      <c r="J349" s="8" t="str">
        <f>HYPERLINK(CONCATENATE("https://livingatlas.arcgis.com/wayback/#ext=-73.56413932699321,18.39219783563766,-73.5621393269932,18.390197835637657"), "wayback")</f>
        <v>wayback</v>
      </c>
      <c r="K349" s="2" t="s">
        <v>422</v>
      </c>
      <c r="L349" s="5"/>
      <c r="M349" s="5" t="s">
        <v>422</v>
      </c>
      <c r="N349" s="5"/>
    </row>
    <row r="350" spans="1:14" x14ac:dyDescent="0.35">
      <c r="A350" s="2">
        <v>349</v>
      </c>
      <c r="B350" s="2" t="s">
        <v>428</v>
      </c>
      <c r="C350" s="2" t="s">
        <v>781</v>
      </c>
      <c r="D350" s="2" t="s">
        <v>10</v>
      </c>
      <c r="E350" s="2">
        <v>36</v>
      </c>
      <c r="F350" s="2">
        <v>18.672646712451389</v>
      </c>
      <c r="G350" s="2">
        <v>-68.501214640307452</v>
      </c>
      <c r="H350" s="8" t="str">
        <f>HYPERLINK(CONCATENATE("https://faluhong.users.earthengine.app/view/hispaniola-lc-validation#id=PF349;lat=18.672646712451385;lon=-68.50121464030745;year=2000;bf=40;level=18;"), "landsat_time_series")</f>
        <v>landsat_time_series</v>
      </c>
      <c r="I350" s="8" t="str">
        <f>HYPERLINK(CONCATENATE("https://jstnbraaten.users.earthengine.app/view/landsat-timeseries-explorer#run=true;lon=-68.50121464030745;lat=18.672646712451385;from=01-01;to=12-31;index=NBR;rgb=NIR%2FRED%2FGREEN;chipwidth=1;"), "landsat_chips")</f>
        <v>landsat_chips</v>
      </c>
      <c r="J350" s="8" t="str">
        <f>HYPERLINK(CONCATENATE("https://livingatlas.arcgis.com/wayback/#ext=-68.50221464030746,18.673646712451387,-68.50021464030745,18.671646712451384"), "wayback")</f>
        <v>wayback</v>
      </c>
      <c r="K350" s="2" t="s">
        <v>422</v>
      </c>
      <c r="L350" s="5"/>
      <c r="M350" s="5" t="s">
        <v>422</v>
      </c>
      <c r="N350" s="5"/>
    </row>
    <row r="351" spans="1:14" x14ac:dyDescent="0.35">
      <c r="A351" s="2">
        <v>350</v>
      </c>
      <c r="B351" s="2" t="s">
        <v>428</v>
      </c>
      <c r="C351" s="2" t="s">
        <v>782</v>
      </c>
      <c r="D351" s="2" t="s">
        <v>10</v>
      </c>
      <c r="E351" s="2">
        <v>29</v>
      </c>
      <c r="F351" s="2">
        <v>18.621004837635329</v>
      </c>
      <c r="G351" s="2">
        <v>-68.430113828620762</v>
      </c>
      <c r="H351" s="8" t="str">
        <f>HYPERLINK(CONCATENATE("https://faluhong.users.earthengine.app/view/hispaniola-lc-validation#id=PF350;lat=18.621004837635326;lon=-68.43011382862076;year=2000;bf=40;level=18;"), "landsat_time_series")</f>
        <v>landsat_time_series</v>
      </c>
      <c r="I351" s="8" t="str">
        <f>HYPERLINK(CONCATENATE("https://jstnbraaten.users.earthengine.app/view/landsat-timeseries-explorer#run=true;lon=-68.43011382862076;lat=18.621004837635326;from=01-01;to=12-31;index=NBR;rgb=NIR%2FRED%2FGREEN;chipwidth=1;"), "landsat_chips")</f>
        <v>landsat_chips</v>
      </c>
      <c r="J351" s="8" t="str">
        <f>HYPERLINK(CONCATENATE("https://livingatlas.arcgis.com/wayback/#ext=-68.43111382862077,18.622004837635327,-68.42911382862076,18.620004837635324"), "wayback")</f>
        <v>wayback</v>
      </c>
      <c r="K351" s="2" t="s">
        <v>418</v>
      </c>
      <c r="L351" s="5"/>
      <c r="M351" s="5" t="s">
        <v>422</v>
      </c>
      <c r="N351" s="5"/>
    </row>
    <row r="352" spans="1:14" x14ac:dyDescent="0.35">
      <c r="A352" s="2">
        <v>351</v>
      </c>
      <c r="B352" s="2" t="s">
        <v>428</v>
      </c>
      <c r="C352" s="2" t="s">
        <v>783</v>
      </c>
      <c r="D352" s="2" t="s">
        <v>10</v>
      </c>
      <c r="E352" s="2">
        <v>2264</v>
      </c>
      <c r="F352" s="2">
        <v>18.8039710155983</v>
      </c>
      <c r="G352" s="2">
        <v>-70.692152004794693</v>
      </c>
      <c r="H352" s="8" t="str">
        <f>HYPERLINK(CONCATENATE("https://faluhong.users.earthengine.app/view/hispaniola-lc-validation#id=PF351;lat=18.803971015598304;lon=-70.69215200479469;year=2000;bf=40;level=18;"), "landsat_time_series")</f>
        <v>landsat_time_series</v>
      </c>
      <c r="I352" s="8" t="str">
        <f>HYPERLINK(CONCATENATE("https://jstnbraaten.users.earthengine.app/view/landsat-timeseries-explorer#run=true;lon=-70.69215200479469;lat=18.803971015598304;from=01-01;to=12-31;index=NBR;rgb=NIR%2FRED%2FGREEN;chipwidth=1;"), "landsat_chips")</f>
        <v>landsat_chips</v>
      </c>
      <c r="J352" s="8" t="str">
        <f>HYPERLINK(CONCATENATE("https://livingatlas.arcgis.com/wayback/#ext=-70.6931520047947,18.804971015598305,-70.69115200479469,18.802971015598303"), "wayback")</f>
        <v>wayback</v>
      </c>
      <c r="K352" s="2" t="s">
        <v>418</v>
      </c>
      <c r="L352" s="5"/>
      <c r="M352" s="5" t="s">
        <v>422</v>
      </c>
      <c r="N352" s="5"/>
    </row>
    <row r="353" spans="1:14" x14ac:dyDescent="0.35">
      <c r="A353" s="2">
        <v>352</v>
      </c>
      <c r="B353" s="2" t="s">
        <v>428</v>
      </c>
      <c r="C353" s="2" t="s">
        <v>784</v>
      </c>
      <c r="D353" s="2" t="s">
        <v>10</v>
      </c>
      <c r="E353" s="2">
        <v>119</v>
      </c>
      <c r="F353" s="2">
        <v>18.410577781262219</v>
      </c>
      <c r="G353" s="2">
        <v>-70.913310667456315</v>
      </c>
      <c r="H353" s="8" t="str">
        <f>HYPERLINK(CONCATENATE("https://faluhong.users.earthengine.app/view/hispaniola-lc-validation#id=PF352;lat=18.410577781262216;lon=-70.91331066745632;year=2000;bf=40;level=18;"), "landsat_time_series")</f>
        <v>landsat_time_series</v>
      </c>
      <c r="I353" s="8" t="str">
        <f>HYPERLINK(CONCATENATE("https://jstnbraaten.users.earthengine.app/view/landsat-timeseries-explorer#run=true;lon=-70.91331066745632;lat=18.410577781262216;from=01-01;to=12-31;index=NBR;rgb=NIR%2FRED%2FGREEN;chipwidth=1;"), "landsat_chips")</f>
        <v>landsat_chips</v>
      </c>
      <c r="J353" s="8" t="str">
        <f>HYPERLINK(CONCATENATE("https://livingatlas.arcgis.com/wayback/#ext=-70.91431066745632,18.411577781262217,-70.91231066745631,18.409577781262215"), "wayback")</f>
        <v>wayback</v>
      </c>
      <c r="K353" s="2" t="s">
        <v>422</v>
      </c>
      <c r="L353" s="5"/>
      <c r="M353" s="5" t="s">
        <v>422</v>
      </c>
      <c r="N353" s="5"/>
    </row>
    <row r="354" spans="1:14" x14ac:dyDescent="0.35">
      <c r="A354" s="2">
        <v>353</v>
      </c>
      <c r="B354" s="2" t="s">
        <v>428</v>
      </c>
      <c r="C354" s="2" t="s">
        <v>785</v>
      </c>
      <c r="D354" s="2" t="s">
        <v>10</v>
      </c>
      <c r="E354" s="2">
        <v>1352</v>
      </c>
      <c r="F354" s="2">
        <v>19.0471103134585</v>
      </c>
      <c r="G354" s="2">
        <v>-70.68759961002516</v>
      </c>
      <c r="H354" s="8" t="str">
        <f>HYPERLINK(CONCATENATE("https://faluhong.users.earthengine.app/view/hispaniola-lc-validation#id=PF353;lat=19.047110313458504;lon=-70.68759961002516;year=2000;bf=40;level=18;"), "landsat_time_series")</f>
        <v>landsat_time_series</v>
      </c>
      <c r="I354" s="8" t="str">
        <f>HYPERLINK(CONCATENATE("https://jstnbraaten.users.earthengine.app/view/landsat-timeseries-explorer#run=true;lon=-70.68759961002516;lat=19.047110313458504;from=01-01;to=12-31;index=NBR;rgb=NIR%2FRED%2FGREEN;chipwidth=1;"), "landsat_chips")</f>
        <v>landsat_chips</v>
      </c>
      <c r="J354" s="8" t="str">
        <f>HYPERLINK(CONCATENATE("https://livingatlas.arcgis.com/wayback/#ext=-70.68859961002516,19.048110313458505,-70.68659961002516,19.046110313458502"), "wayback")</f>
        <v>wayback</v>
      </c>
      <c r="K354" s="2" t="s">
        <v>418</v>
      </c>
      <c r="L354" s="5"/>
      <c r="M354" s="5" t="s">
        <v>422</v>
      </c>
      <c r="N354" s="5"/>
    </row>
    <row r="355" spans="1:14" x14ac:dyDescent="0.35">
      <c r="A355" s="2">
        <v>354</v>
      </c>
      <c r="B355" s="2" t="s">
        <v>428</v>
      </c>
      <c r="C355" s="2" t="s">
        <v>786</v>
      </c>
      <c r="D355" s="2" t="s">
        <v>10</v>
      </c>
      <c r="E355" s="2">
        <v>81</v>
      </c>
      <c r="F355" s="2">
        <v>18.516726881871289</v>
      </c>
      <c r="G355" s="2">
        <v>-69.044232861498827</v>
      </c>
      <c r="H355" s="8" t="str">
        <f>HYPERLINK(CONCATENATE("https://faluhong.users.earthengine.app/view/hispaniola-lc-validation#id=PF354;lat=18.51672688187129;lon=-69.04423286149883;year=2000;bf=40;level=18;"), "landsat_time_series")</f>
        <v>landsat_time_series</v>
      </c>
      <c r="I355" s="8" t="str">
        <f>HYPERLINK(CONCATENATE("https://jstnbraaten.users.earthengine.app/view/landsat-timeseries-explorer#run=true;lon=-69.04423286149883;lat=18.51672688187129;from=01-01;to=12-31;index=NBR;rgb=NIR%2FRED%2FGREEN;chipwidth=1;"), "landsat_chips")</f>
        <v>landsat_chips</v>
      </c>
      <c r="J355" s="8" t="str">
        <f>HYPERLINK(CONCATENATE("https://livingatlas.arcgis.com/wayback/#ext=-69.04523286149883,18.51772688187129,-69.04323286149882,18.515726881871288"), "wayback")</f>
        <v>wayback</v>
      </c>
      <c r="K355" s="2" t="s">
        <v>422</v>
      </c>
      <c r="L355" s="5"/>
      <c r="M355" s="5" t="s">
        <v>422</v>
      </c>
      <c r="N355" s="5"/>
    </row>
    <row r="356" spans="1:14" x14ac:dyDescent="0.35">
      <c r="A356" s="2">
        <v>355</v>
      </c>
      <c r="B356" s="2" t="s">
        <v>428</v>
      </c>
      <c r="C356" s="2" t="s">
        <v>787</v>
      </c>
      <c r="D356" s="2" t="s">
        <v>20</v>
      </c>
      <c r="E356" s="2">
        <v>33</v>
      </c>
      <c r="F356" s="2">
        <v>19.766859641139479</v>
      </c>
      <c r="G356" s="2">
        <v>-72.452846134747745</v>
      </c>
      <c r="H356" s="8" t="str">
        <f>HYPERLINK(CONCATENATE("https://faluhong.users.earthengine.app/view/hispaniola-lc-validation#id=PF355;lat=19.766859641139483;lon=-72.45284613474774;year=2000;bf=40;level=18;"), "landsat_time_series")</f>
        <v>landsat_time_series</v>
      </c>
      <c r="I356" s="8" t="str">
        <f>HYPERLINK(CONCATENATE("https://jstnbraaten.users.earthengine.app/view/landsat-timeseries-explorer#run=true;lon=-72.45284613474774;lat=19.766859641139483;from=01-01;to=12-31;index=NBR;rgb=NIR%2FRED%2FGREEN;chipwidth=1;"), "landsat_chips")</f>
        <v>landsat_chips</v>
      </c>
      <c r="J356" s="8" t="str">
        <f>HYPERLINK(CONCATENATE("https://livingatlas.arcgis.com/wayback/#ext=-72.45384613474775,19.767859641139484,-72.45184613474774,19.765859641139482"), "wayback")</f>
        <v>wayback</v>
      </c>
      <c r="K356" s="2" t="s">
        <v>422</v>
      </c>
      <c r="L356" s="5"/>
      <c r="M356" s="5" t="s">
        <v>422</v>
      </c>
      <c r="N356" s="5"/>
    </row>
    <row r="357" spans="1:14" x14ac:dyDescent="0.35">
      <c r="A357" s="2">
        <v>356</v>
      </c>
      <c r="B357" s="2" t="s">
        <v>428</v>
      </c>
      <c r="C357" s="2" t="s">
        <v>788</v>
      </c>
      <c r="D357" s="2" t="s">
        <v>10</v>
      </c>
      <c r="E357" s="2">
        <v>253</v>
      </c>
      <c r="F357" s="2">
        <v>18.88646802699213</v>
      </c>
      <c r="G357" s="2">
        <v>-70.090666483402103</v>
      </c>
      <c r="H357" s="8" t="str">
        <f>HYPERLINK(CONCATENATE("https://faluhong.users.earthengine.app/view/hispaniola-lc-validation#id=PF356;lat=18.886468026992127;lon=-70.0906664834021;year=2000;bf=40;level=18;"), "landsat_time_series")</f>
        <v>landsat_time_series</v>
      </c>
      <c r="I357" s="8" t="str">
        <f>HYPERLINK(CONCATENATE("https://jstnbraaten.users.earthengine.app/view/landsat-timeseries-explorer#run=true;lon=-70.0906664834021;lat=18.886468026992127;from=01-01;to=12-31;index=NBR;rgb=NIR%2FRED%2FGREEN;chipwidth=1;"), "landsat_chips")</f>
        <v>landsat_chips</v>
      </c>
      <c r="J357" s="8" t="str">
        <f>HYPERLINK(CONCATENATE("https://livingatlas.arcgis.com/wayback/#ext=-70.09166648340211,18.887468026992128,-70.0896664834021,18.885468026992125"), "wayback")</f>
        <v>wayback</v>
      </c>
      <c r="K357" s="2" t="s">
        <v>422</v>
      </c>
      <c r="L357" s="5"/>
      <c r="M357" s="5" t="s">
        <v>422</v>
      </c>
      <c r="N357" s="5"/>
    </row>
    <row r="358" spans="1:14" x14ac:dyDescent="0.35">
      <c r="A358" s="2">
        <v>357</v>
      </c>
      <c r="B358" s="2" t="s">
        <v>428</v>
      </c>
      <c r="C358" s="2" t="s">
        <v>789</v>
      </c>
      <c r="D358" s="2" t="s">
        <v>10</v>
      </c>
      <c r="E358" s="2">
        <v>780</v>
      </c>
      <c r="F358" s="2">
        <v>19.291703446461892</v>
      </c>
      <c r="G358" s="2">
        <v>-71.182616032713923</v>
      </c>
      <c r="H358" s="8" t="str">
        <f>HYPERLINK(CONCATENATE("https://faluhong.users.earthengine.app/view/hispaniola-lc-validation#id=PF357;lat=19.29170344646189;lon=-71.18261603271392;year=2000;bf=40;level=18;"), "landsat_time_series")</f>
        <v>landsat_time_series</v>
      </c>
      <c r="I358" s="8" t="str">
        <f>HYPERLINK(CONCATENATE("https://jstnbraaten.users.earthengine.app/view/landsat-timeseries-explorer#run=true;lon=-71.18261603271392;lat=19.29170344646189;from=01-01;to=12-31;index=NBR;rgb=NIR%2FRED%2FGREEN;chipwidth=1;"), "landsat_chips")</f>
        <v>landsat_chips</v>
      </c>
      <c r="J358" s="8" t="str">
        <f>HYPERLINK(CONCATENATE("https://livingatlas.arcgis.com/wayback/#ext=-71.18361603271393,19.292703446461893,-71.18161603271392,19.29070344646189"), "wayback")</f>
        <v>wayback</v>
      </c>
      <c r="K358" s="2" t="s">
        <v>422</v>
      </c>
      <c r="L358" s="5"/>
      <c r="M358" s="5" t="s">
        <v>422</v>
      </c>
      <c r="N358" s="5"/>
    </row>
    <row r="359" spans="1:14" x14ac:dyDescent="0.35">
      <c r="A359" s="2">
        <v>358</v>
      </c>
      <c r="B359" s="2" t="s">
        <v>428</v>
      </c>
      <c r="C359" s="2" t="s">
        <v>790</v>
      </c>
      <c r="D359" s="2" t="s">
        <v>10</v>
      </c>
      <c r="E359" s="2">
        <v>1544</v>
      </c>
      <c r="F359" s="2">
        <v>18.644591262407079</v>
      </c>
      <c r="G359" s="2">
        <v>-71.686105658872279</v>
      </c>
      <c r="H359" s="8" t="str">
        <f>HYPERLINK(CONCATENATE("https://faluhong.users.earthengine.app/view/hispaniola-lc-validation#id=PF358;lat=18.644591262407076;lon=-71.68610565887228;year=2000;bf=40;level=18;"), "landsat_time_series")</f>
        <v>landsat_time_series</v>
      </c>
      <c r="I359" s="8" t="str">
        <f>HYPERLINK(CONCATENATE("https://jstnbraaten.users.earthengine.app/view/landsat-timeseries-explorer#run=true;lon=-71.68610565887228;lat=18.644591262407076;from=01-01;to=12-31;index=NBR;rgb=NIR%2FRED%2FGREEN;chipwidth=1;"), "landsat_chips")</f>
        <v>landsat_chips</v>
      </c>
      <c r="J359" s="8" t="str">
        <f>HYPERLINK(CONCATENATE("https://livingatlas.arcgis.com/wayback/#ext=-71.68710565887228,18.645591262407077,-71.68510565887227,18.643591262407075"), "wayback")</f>
        <v>wayback</v>
      </c>
      <c r="K359" s="2" t="s">
        <v>422</v>
      </c>
      <c r="L359" s="5"/>
      <c r="M359" s="5" t="s">
        <v>422</v>
      </c>
      <c r="N359" s="5"/>
    </row>
    <row r="360" spans="1:14" x14ac:dyDescent="0.35">
      <c r="A360" s="2">
        <v>359</v>
      </c>
      <c r="B360" s="2" t="s">
        <v>428</v>
      </c>
      <c r="C360" s="2" t="s">
        <v>791</v>
      </c>
      <c r="D360" s="2" t="s">
        <v>20</v>
      </c>
      <c r="E360" s="2">
        <v>10</v>
      </c>
      <c r="F360" s="2">
        <v>18.26297880961631</v>
      </c>
      <c r="G360" s="2">
        <v>-73.642783837958774</v>
      </c>
      <c r="H360" s="8" t="str">
        <f>HYPERLINK(CONCATENATE("https://faluhong.users.earthengine.app/view/hispaniola-lc-validation#id=PF359;lat=18.262978809616314;lon=-73.64278383795877;year=2000;bf=40;level=18;"), "landsat_time_series")</f>
        <v>landsat_time_series</v>
      </c>
      <c r="I360" s="8" t="str">
        <f>HYPERLINK(CONCATENATE("https://jstnbraaten.users.earthengine.app/view/landsat-timeseries-explorer#run=true;lon=-73.64278383795877;lat=18.262978809616314;from=01-01;to=12-31;index=NBR;rgb=NIR%2FRED%2FGREEN;chipwidth=1;"), "landsat_chips")</f>
        <v>landsat_chips</v>
      </c>
      <c r="J360" s="8" t="str">
        <f>HYPERLINK(CONCATENATE("https://livingatlas.arcgis.com/wayback/#ext=-73.64378383795878,18.263978809616315,-73.64178383795877,18.261978809616313"), "wayback")</f>
        <v>wayback</v>
      </c>
      <c r="K360" s="2" t="s">
        <v>422</v>
      </c>
      <c r="L360" s="5"/>
      <c r="M360" s="5" t="s">
        <v>422</v>
      </c>
      <c r="N360" s="5"/>
    </row>
    <row r="361" spans="1:14" x14ac:dyDescent="0.35">
      <c r="A361" s="2">
        <v>360</v>
      </c>
      <c r="B361" s="2" t="s">
        <v>428</v>
      </c>
      <c r="C361" s="2" t="s">
        <v>792</v>
      </c>
      <c r="D361" s="2" t="s">
        <v>20</v>
      </c>
      <c r="E361" s="2">
        <v>367</v>
      </c>
      <c r="F361" s="2">
        <v>19.078630872271901</v>
      </c>
      <c r="G361" s="2">
        <v>-72.384269534094884</v>
      </c>
      <c r="H361" s="8" t="str">
        <f>HYPERLINK(CONCATENATE("https://faluhong.users.earthengine.app/view/hispaniola-lc-validation#id=PF360;lat=19.078630872271898;lon=-72.38426953409488;year=2000;bf=40;level=18;"), "landsat_time_series")</f>
        <v>landsat_time_series</v>
      </c>
      <c r="I361" s="8" t="str">
        <f>HYPERLINK(CONCATENATE("https://jstnbraaten.users.earthengine.app/view/landsat-timeseries-explorer#run=true;lon=-72.38426953409488;lat=19.078630872271898;from=01-01;to=12-31;index=NBR;rgb=NIR%2FRED%2FGREEN;chipwidth=1;"), "landsat_chips")</f>
        <v>landsat_chips</v>
      </c>
      <c r="J361" s="8" t="str">
        <f>HYPERLINK(CONCATENATE("https://livingatlas.arcgis.com/wayback/#ext=-72.38526953409489,19.0796308722719,-72.38326953409488,19.077630872271897"), "wayback")</f>
        <v>wayback</v>
      </c>
      <c r="K361" s="2" t="s">
        <v>422</v>
      </c>
      <c r="L361" s="5"/>
      <c r="M361" s="5" t="s">
        <v>422</v>
      </c>
      <c r="N361" s="5"/>
    </row>
    <row r="362" spans="1:14" x14ac:dyDescent="0.35">
      <c r="A362" s="2">
        <v>361</v>
      </c>
      <c r="B362" s="2" t="s">
        <v>428</v>
      </c>
      <c r="C362" s="2" t="s">
        <v>793</v>
      </c>
      <c r="D362" s="2" t="s">
        <v>10</v>
      </c>
      <c r="E362" s="2">
        <v>131</v>
      </c>
      <c r="F362" s="2">
        <v>18.638729424831428</v>
      </c>
      <c r="G362" s="2">
        <v>-70.179041237824919</v>
      </c>
      <c r="H362" s="8" t="str">
        <f>HYPERLINK(CONCATENATE("https://faluhong.users.earthengine.app/view/hispaniola-lc-validation#id=PF361;lat=18.638729424831432;lon=-70.17904123782492;year=2000;bf=40;level=18;"), "landsat_time_series")</f>
        <v>landsat_time_series</v>
      </c>
      <c r="I362" s="8" t="str">
        <f>HYPERLINK(CONCATENATE("https://jstnbraaten.users.earthengine.app/view/landsat-timeseries-explorer#run=true;lon=-70.17904123782492;lat=18.638729424831432;from=01-01;to=12-31;index=NBR;rgb=NIR%2FRED%2FGREEN;chipwidth=1;"), "landsat_chips")</f>
        <v>landsat_chips</v>
      </c>
      <c r="J362" s="8" t="str">
        <f>HYPERLINK(CONCATENATE("https://livingatlas.arcgis.com/wayback/#ext=-70.18004123782492,18.639729424831433,-70.17804123782491,18.63772942483143"), "wayback")</f>
        <v>wayback</v>
      </c>
      <c r="K362" s="2" t="s">
        <v>422</v>
      </c>
      <c r="L362" s="5"/>
      <c r="M362" s="5" t="s">
        <v>422</v>
      </c>
      <c r="N362" s="5"/>
    </row>
    <row r="363" spans="1:14" x14ac:dyDescent="0.35">
      <c r="A363" s="2">
        <v>362</v>
      </c>
      <c r="B363" s="2" t="s">
        <v>428</v>
      </c>
      <c r="C363" s="2" t="s">
        <v>794</v>
      </c>
      <c r="D363" s="2" t="s">
        <v>20</v>
      </c>
      <c r="E363" s="2">
        <v>313</v>
      </c>
      <c r="F363" s="2">
        <v>19.789537931091321</v>
      </c>
      <c r="G363" s="2">
        <v>-73.042261802753927</v>
      </c>
      <c r="H363" s="8" t="str">
        <f>HYPERLINK(CONCATENATE("https://faluhong.users.earthengine.app/view/hispaniola-lc-validation#id=PF362;lat=19.78953793109132;lon=-73.04226180275393;year=2000;bf=40;level=18;"), "landsat_time_series")</f>
        <v>landsat_time_series</v>
      </c>
      <c r="I363" s="8" t="str">
        <f>HYPERLINK(CONCATENATE("https://jstnbraaten.users.earthengine.app/view/landsat-timeseries-explorer#run=true;lon=-73.04226180275393;lat=19.78953793109132;from=01-01;to=12-31;index=NBR;rgb=NIR%2FRED%2FGREEN;chipwidth=1;"), "landsat_chips")</f>
        <v>landsat_chips</v>
      </c>
      <c r="J363" s="8" t="str">
        <f>HYPERLINK(CONCATENATE("https://livingatlas.arcgis.com/wayback/#ext=-73.04326180275393,19.790537931091322,-73.04126180275392,19.78853793109132"), "wayback")</f>
        <v>wayback</v>
      </c>
      <c r="K363" s="2" t="s">
        <v>422</v>
      </c>
      <c r="L363" s="5"/>
      <c r="M363" s="5" t="s">
        <v>422</v>
      </c>
      <c r="N363" s="5"/>
    </row>
    <row r="364" spans="1:14" x14ac:dyDescent="0.35">
      <c r="A364" s="2">
        <v>363</v>
      </c>
      <c r="B364" s="2" t="s">
        <v>428</v>
      </c>
      <c r="C364" s="2" t="s">
        <v>795</v>
      </c>
      <c r="D364" s="2" t="s">
        <v>10</v>
      </c>
      <c r="E364" s="2">
        <v>1392</v>
      </c>
      <c r="F364" s="2">
        <v>18.95075868093835</v>
      </c>
      <c r="G364" s="2">
        <v>-70.967849656627237</v>
      </c>
      <c r="H364" s="8" t="str">
        <f>HYPERLINK(CONCATENATE("https://faluhong.users.earthengine.app/view/hispaniola-lc-validation#id=PF363;lat=18.950758680938353;lon=-70.96784965662724;year=2000;bf=40;level=18;"), "landsat_time_series")</f>
        <v>landsat_time_series</v>
      </c>
      <c r="I364" s="8" t="str">
        <f>HYPERLINK(CONCATENATE("https://jstnbraaten.users.earthengine.app/view/landsat-timeseries-explorer#run=true;lon=-70.96784965662724;lat=18.950758680938353;from=01-01;to=12-31;index=NBR;rgb=NIR%2FRED%2FGREEN;chipwidth=1;"), "landsat_chips")</f>
        <v>landsat_chips</v>
      </c>
      <c r="J364" s="8" t="str">
        <f>HYPERLINK(CONCATENATE("https://livingatlas.arcgis.com/wayback/#ext=-70.96884965662724,18.951758680938354,-70.96684965662723,18.949758680938352"), "wayback")</f>
        <v>wayback</v>
      </c>
      <c r="K364" s="2" t="s">
        <v>422</v>
      </c>
      <c r="L364" s="5"/>
      <c r="M364" s="5" t="s">
        <v>422</v>
      </c>
      <c r="N364" s="5"/>
    </row>
    <row r="365" spans="1:14" x14ac:dyDescent="0.35">
      <c r="A365" s="2">
        <v>364</v>
      </c>
      <c r="B365" s="2" t="s">
        <v>428</v>
      </c>
      <c r="C365" s="2" t="s">
        <v>796</v>
      </c>
      <c r="D365" s="2" t="s">
        <v>20</v>
      </c>
      <c r="E365" s="2">
        <v>569</v>
      </c>
      <c r="F365" s="2">
        <v>18.413974463712151</v>
      </c>
      <c r="G365" s="2">
        <v>-72.171398547704214</v>
      </c>
      <c r="H365" s="8" t="str">
        <f>HYPERLINK(CONCATENATE("https://faluhong.users.earthengine.app/view/hispaniola-lc-validation#id=PF364;lat=18.413974463712147;lon=-72.17139854770421;year=2000;bf=40;level=18;"), "landsat_time_series")</f>
        <v>landsat_time_series</v>
      </c>
      <c r="I365" s="8" t="str">
        <f>HYPERLINK(CONCATENATE("https://jstnbraaten.users.earthengine.app/view/landsat-timeseries-explorer#run=true;lon=-72.17139854770421;lat=18.413974463712147;from=01-01;to=12-31;index=NBR;rgb=NIR%2FRED%2FGREEN;chipwidth=1;"), "landsat_chips")</f>
        <v>landsat_chips</v>
      </c>
      <c r="J365" s="8" t="str">
        <f>HYPERLINK(CONCATENATE("https://livingatlas.arcgis.com/wayback/#ext=-72.17239854770422,18.41497446371215,-72.17039854770421,18.412974463712146"), "wayback")</f>
        <v>wayback</v>
      </c>
      <c r="K365" s="2" t="s">
        <v>422</v>
      </c>
      <c r="L365" s="5"/>
      <c r="M365" s="5" t="s">
        <v>422</v>
      </c>
      <c r="N365" s="5"/>
    </row>
    <row r="366" spans="1:14" x14ac:dyDescent="0.35">
      <c r="A366" s="2">
        <v>365</v>
      </c>
      <c r="B366" s="2" t="s">
        <v>428</v>
      </c>
      <c r="C366" s="2" t="s">
        <v>797</v>
      </c>
      <c r="D366" s="2" t="s">
        <v>20</v>
      </c>
      <c r="E366" s="2">
        <v>624</v>
      </c>
      <c r="F366" s="2">
        <v>18.790145215958859</v>
      </c>
      <c r="G366" s="2">
        <v>-73.003832187661303</v>
      </c>
      <c r="H366" s="8" t="str">
        <f>HYPERLINK(CONCATENATE("https://faluhong.users.earthengine.app/view/hispaniola-lc-validation#id=PF365;lat=18.790145215958862;lon=-73.0038321876613;year=2000;bf=40;level=18;"), "landsat_time_series")</f>
        <v>landsat_time_series</v>
      </c>
      <c r="I366" s="8" t="str">
        <f>HYPERLINK(CONCATENATE("https://jstnbraaten.users.earthengine.app/view/landsat-timeseries-explorer#run=true;lon=-73.0038321876613;lat=18.790145215958862;from=01-01;to=12-31;index=NBR;rgb=NIR%2FRED%2FGREEN;chipwidth=1;"), "landsat_chips")</f>
        <v>landsat_chips</v>
      </c>
      <c r="J366" s="8" t="str">
        <f>HYPERLINK(CONCATENATE("https://livingatlas.arcgis.com/wayback/#ext=-73.00483218766131,18.791145215958863,-73.0028321876613,18.78914521595886"), "wayback")</f>
        <v>wayback</v>
      </c>
      <c r="K366" s="2" t="s">
        <v>422</v>
      </c>
      <c r="L366" s="5"/>
      <c r="M366" s="5" t="s">
        <v>422</v>
      </c>
      <c r="N366" s="5"/>
    </row>
    <row r="367" spans="1:14" x14ac:dyDescent="0.35">
      <c r="A367" s="2">
        <v>366</v>
      </c>
      <c r="B367" s="2" t="s">
        <v>428</v>
      </c>
      <c r="C367" s="2" t="s">
        <v>798</v>
      </c>
      <c r="D367" s="2" t="s">
        <v>10</v>
      </c>
      <c r="E367" s="2">
        <v>805</v>
      </c>
      <c r="F367" s="2">
        <v>18.545122483419998</v>
      </c>
      <c r="G367" s="2">
        <v>-71.471308258911279</v>
      </c>
      <c r="H367" s="8" t="str">
        <f>HYPERLINK(CONCATENATE("https://faluhong.users.earthengine.app/view/hispaniola-lc-validation#id=PF366;lat=18.545122483420002;lon=-71.47130825891128;year=2000;bf=40;level=18;"), "landsat_time_series")</f>
        <v>landsat_time_series</v>
      </c>
      <c r="I367" s="8" t="str">
        <f>HYPERLINK(CONCATENATE("https://jstnbraaten.users.earthengine.app/view/landsat-timeseries-explorer#run=true;lon=-71.47130825891128;lat=18.545122483420002;from=01-01;to=12-31;index=NBR;rgb=NIR%2FRED%2FGREEN;chipwidth=1;"), "landsat_chips")</f>
        <v>landsat_chips</v>
      </c>
      <c r="J367" s="8" t="str">
        <f>HYPERLINK(CONCATENATE("https://livingatlas.arcgis.com/wayback/#ext=-71.47230825891128,18.546122483420003,-71.47030825891127,18.54412248342"), "wayback")</f>
        <v>wayback</v>
      </c>
      <c r="K367" s="2" t="s">
        <v>422</v>
      </c>
      <c r="L367" s="5" t="b">
        <v>1</v>
      </c>
      <c r="M367" s="5"/>
      <c r="N367" s="5"/>
    </row>
    <row r="368" spans="1:14" x14ac:dyDescent="0.35">
      <c r="A368" s="2">
        <v>367</v>
      </c>
      <c r="B368" s="2" t="s">
        <v>428</v>
      </c>
      <c r="C368" s="2" t="s">
        <v>799</v>
      </c>
      <c r="D368" s="2" t="s">
        <v>10</v>
      </c>
      <c r="E368" s="2">
        <v>2147</v>
      </c>
      <c r="F368" s="2">
        <v>19.067326238993211</v>
      </c>
      <c r="G368" s="2">
        <v>-71.070750929401115</v>
      </c>
      <c r="H368" s="8" t="str">
        <f>HYPERLINK(CONCATENATE("https://faluhong.users.earthengine.app/view/hispaniola-lc-validation#id=PF367;lat=19.067326238993214;lon=-71.07075092940111;year=2000;bf=40;level=18;"), "landsat_time_series")</f>
        <v>landsat_time_series</v>
      </c>
      <c r="I368" s="8" t="str">
        <f>HYPERLINK(CONCATENATE("https://jstnbraaten.users.earthengine.app/view/landsat-timeseries-explorer#run=true;lon=-71.07075092940111;lat=19.067326238993214;from=01-01;to=12-31;index=NBR;rgb=NIR%2FRED%2FGREEN;chipwidth=1;"), "landsat_chips")</f>
        <v>landsat_chips</v>
      </c>
      <c r="J368" s="8" t="str">
        <f>HYPERLINK(CONCATENATE("https://livingatlas.arcgis.com/wayback/#ext=-71.07175092940112,19.068326238993215,-71.06975092940111,19.066326238993213"), "wayback")</f>
        <v>wayback</v>
      </c>
      <c r="K368" s="2" t="s">
        <v>418</v>
      </c>
      <c r="L368" s="5"/>
      <c r="M368" s="5" t="s">
        <v>418</v>
      </c>
      <c r="N368" s="5" t="s">
        <v>419</v>
      </c>
    </row>
    <row r="369" spans="1:14" x14ac:dyDescent="0.35">
      <c r="A369" s="2">
        <v>368</v>
      </c>
      <c r="B369" s="2" t="s">
        <v>428</v>
      </c>
      <c r="C369" s="2" t="s">
        <v>800</v>
      </c>
      <c r="D369" s="2" t="s">
        <v>20</v>
      </c>
      <c r="E369" s="2">
        <v>514</v>
      </c>
      <c r="F369" s="2">
        <v>18.77878108072861</v>
      </c>
      <c r="G369" s="2">
        <v>-72.886931658143595</v>
      </c>
      <c r="H369" s="8" t="str">
        <f>HYPERLINK(CONCATENATE("https://faluhong.users.earthengine.app/view/hispaniola-lc-validation#id=PF368;lat=18.778781080728614;lon=-72.8869316581436;year=2000;bf=40;level=18;"), "landsat_time_series")</f>
        <v>landsat_time_series</v>
      </c>
      <c r="I369" s="8" t="str">
        <f>HYPERLINK(CONCATENATE("https://jstnbraaten.users.earthengine.app/view/landsat-timeseries-explorer#run=true;lon=-72.8869316581436;lat=18.778781080728614;from=01-01;to=12-31;index=NBR;rgb=NIR%2FRED%2FGREEN;chipwidth=1;"), "landsat_chips")</f>
        <v>landsat_chips</v>
      </c>
      <c r="J369" s="8" t="str">
        <f>HYPERLINK(CONCATENATE("https://livingatlas.arcgis.com/wayback/#ext=-72.8879316581436,18.779781080728615,-72.88593165814359,18.777781080728612"), "wayback")</f>
        <v>wayback</v>
      </c>
      <c r="K369" s="2" t="s">
        <v>422</v>
      </c>
      <c r="L369" s="5"/>
      <c r="M369" s="5" t="s">
        <v>422</v>
      </c>
      <c r="N369" s="5"/>
    </row>
    <row r="370" spans="1:14" x14ac:dyDescent="0.35">
      <c r="A370" s="2">
        <v>369</v>
      </c>
      <c r="B370" s="2" t="s">
        <v>428</v>
      </c>
      <c r="C370" s="2" t="s">
        <v>801</v>
      </c>
      <c r="D370" s="2" t="s">
        <v>10</v>
      </c>
      <c r="E370" s="2">
        <v>82</v>
      </c>
      <c r="F370" s="2">
        <v>19.58476516611141</v>
      </c>
      <c r="G370" s="2">
        <v>-70.047606310223173</v>
      </c>
      <c r="H370" s="8" t="str">
        <f>HYPERLINK(CONCATENATE("https://faluhong.users.earthengine.app/view/hispaniola-lc-validation#id=PF369;lat=19.584765166111406;lon=-70.04760631022317;year=2000;bf=40;level=18;"), "landsat_time_series")</f>
        <v>landsat_time_series</v>
      </c>
      <c r="I370" s="8" t="str">
        <f>HYPERLINK(CONCATENATE("https://jstnbraaten.users.earthengine.app/view/landsat-timeseries-explorer#run=true;lon=-70.04760631022317;lat=19.584765166111406;from=01-01;to=12-31;index=NBR;rgb=NIR%2FRED%2FGREEN;chipwidth=1;"), "landsat_chips")</f>
        <v>landsat_chips</v>
      </c>
      <c r="J370" s="8" t="str">
        <f>HYPERLINK(CONCATENATE("https://livingatlas.arcgis.com/wayback/#ext=-70.04860631022318,19.585765166111408,-70.04660631022317,19.583765166111405"), "wayback")</f>
        <v>wayback</v>
      </c>
      <c r="K370" s="2" t="s">
        <v>422</v>
      </c>
      <c r="L370" s="5"/>
      <c r="M370" s="5" t="s">
        <v>422</v>
      </c>
      <c r="N370" s="5"/>
    </row>
    <row r="371" spans="1:14" x14ac:dyDescent="0.35">
      <c r="A371" s="2">
        <v>370</v>
      </c>
      <c r="B371" s="2" t="s">
        <v>428</v>
      </c>
      <c r="C371" s="2" t="s">
        <v>802</v>
      </c>
      <c r="D371" s="2" t="s">
        <v>10</v>
      </c>
      <c r="E371" s="2">
        <v>45</v>
      </c>
      <c r="F371" s="2">
        <v>18.460151096052108</v>
      </c>
      <c r="G371" s="2">
        <v>-70.056136388669287</v>
      </c>
      <c r="H371" s="8" t="str">
        <f>HYPERLINK(CONCATENATE("https://faluhong.users.earthengine.app/view/hispaniola-lc-validation#id=PF370;lat=18.46015109605211;lon=-70.05613638866929;year=2000;bf=40;level=18;"), "landsat_time_series")</f>
        <v>landsat_time_series</v>
      </c>
      <c r="I371" s="8" t="str">
        <f>HYPERLINK(CONCATENATE("https://jstnbraaten.users.earthengine.app/view/landsat-timeseries-explorer#run=true;lon=-70.05613638866929;lat=18.46015109605211;from=01-01;to=12-31;index=NBR;rgb=NIR%2FRED%2FGREEN;chipwidth=1;"), "landsat_chips")</f>
        <v>landsat_chips</v>
      </c>
      <c r="J371" s="8" t="str">
        <f>HYPERLINK(CONCATENATE("https://livingatlas.arcgis.com/wayback/#ext=-70.05713638866929,18.46115109605211,-70.05513638866928,18.459151096052107"), "wayback")</f>
        <v>wayback</v>
      </c>
      <c r="K371" s="2" t="s">
        <v>422</v>
      </c>
      <c r="L371" s="5"/>
      <c r="M371" s="5" t="s">
        <v>422</v>
      </c>
      <c r="N371" s="5"/>
    </row>
    <row r="372" spans="1:14" x14ac:dyDescent="0.35">
      <c r="A372" s="2">
        <v>371</v>
      </c>
      <c r="B372" s="2" t="s">
        <v>428</v>
      </c>
      <c r="C372" s="2" t="s">
        <v>803</v>
      </c>
      <c r="D372" s="2" t="s">
        <v>20</v>
      </c>
      <c r="E372" s="2">
        <v>1426</v>
      </c>
      <c r="F372" s="2">
        <v>18.382403299742059</v>
      </c>
      <c r="G372" s="2">
        <v>-72.110094912656507</v>
      </c>
      <c r="H372" s="8" t="str">
        <f>HYPERLINK(CONCATENATE("https://faluhong.users.earthengine.app/view/hispaniola-lc-validation#id=PF371;lat=18.382403299742062;lon=-72.1100949126565;year=2000;bf=40;level=18;"), "landsat_time_series")</f>
        <v>landsat_time_series</v>
      </c>
      <c r="I372" s="8" t="str">
        <f>HYPERLINK(CONCATENATE("https://jstnbraaten.users.earthengine.app/view/landsat-timeseries-explorer#run=true;lon=-72.1100949126565;lat=18.382403299742062;from=01-01;to=12-31;index=NBR;rgb=NIR%2FRED%2FGREEN;chipwidth=1;"), "landsat_chips")</f>
        <v>landsat_chips</v>
      </c>
      <c r="J372" s="8" t="str">
        <f>HYPERLINK(CONCATENATE("https://livingatlas.arcgis.com/wayback/#ext=-72.11109491265651,18.383403299742064,-72.1090949126565,18.38140329974206"), "wayback")</f>
        <v>wayback</v>
      </c>
      <c r="K372" s="2" t="s">
        <v>422</v>
      </c>
      <c r="L372" s="5"/>
      <c r="M372" s="5" t="s">
        <v>422</v>
      </c>
      <c r="N372" s="5"/>
    </row>
    <row r="373" spans="1:14" x14ac:dyDescent="0.35">
      <c r="A373" s="2">
        <v>372</v>
      </c>
      <c r="B373" s="2" t="s">
        <v>428</v>
      </c>
      <c r="C373" s="2" t="s">
        <v>804</v>
      </c>
      <c r="D373" s="2" t="s">
        <v>10</v>
      </c>
      <c r="E373" s="2">
        <v>1788</v>
      </c>
      <c r="F373" s="2">
        <v>18.972939235976931</v>
      </c>
      <c r="G373" s="2">
        <v>-70.910122916195888</v>
      </c>
      <c r="H373" s="8" t="str">
        <f>HYPERLINK(CONCATENATE("https://faluhong.users.earthengine.app/view/hispaniola-lc-validation#id=PF372;lat=18.97293923597693;lon=-70.91012291619589;year=2000;bf=40;level=18;"), "landsat_time_series")</f>
        <v>landsat_time_series</v>
      </c>
      <c r="I373" s="8" t="str">
        <f>HYPERLINK(CONCATENATE("https://jstnbraaten.users.earthengine.app/view/landsat-timeseries-explorer#run=true;lon=-70.91012291619589;lat=18.97293923597693;from=01-01;to=12-31;index=NBR;rgb=NIR%2FRED%2FGREEN;chipwidth=1;"), "landsat_chips")</f>
        <v>landsat_chips</v>
      </c>
      <c r="J373" s="8" t="str">
        <f>HYPERLINK(CONCATENATE("https://livingatlas.arcgis.com/wayback/#ext=-70.9111229161959,18.973939235976932,-70.90912291619588,18.97193923597693"), "wayback")</f>
        <v>wayback</v>
      </c>
      <c r="K373" s="2" t="s">
        <v>418</v>
      </c>
      <c r="L373" s="5"/>
      <c r="M373" s="5" t="s">
        <v>418</v>
      </c>
      <c r="N373" s="5" t="s">
        <v>419</v>
      </c>
    </row>
    <row r="374" spans="1:14" x14ac:dyDescent="0.35">
      <c r="A374" s="2">
        <v>373</v>
      </c>
      <c r="B374" s="2" t="s">
        <v>428</v>
      </c>
      <c r="C374" s="2" t="s">
        <v>805</v>
      </c>
      <c r="D374" s="2" t="s">
        <v>10</v>
      </c>
      <c r="E374" s="2">
        <v>2479</v>
      </c>
      <c r="F374" s="2">
        <v>19.032804481367599</v>
      </c>
      <c r="G374" s="2">
        <v>-70.979788608969059</v>
      </c>
      <c r="H374" s="8" t="str">
        <f>HYPERLINK(CONCATENATE("https://faluhong.users.earthengine.app/view/hispaniola-lc-validation#id=PF373;lat=19.032804481367602;lon=-70.97978860896906;year=2000;bf=40;level=18;"), "landsat_time_series")</f>
        <v>landsat_time_series</v>
      </c>
      <c r="I374" s="8" t="str">
        <f>HYPERLINK(CONCATENATE("https://jstnbraaten.users.earthengine.app/view/landsat-timeseries-explorer#run=true;lon=-70.97978860896906;lat=19.032804481367602;from=01-01;to=12-31;index=NBR;rgb=NIR%2FRED%2FGREEN;chipwidth=1;"), "landsat_chips")</f>
        <v>landsat_chips</v>
      </c>
      <c r="J374" s="8" t="str">
        <f>HYPERLINK(CONCATENATE("https://livingatlas.arcgis.com/wayback/#ext=-70.98078860896906,19.033804481367604,-70.97878860896905,19.0318044813676"), "wayback")</f>
        <v>wayback</v>
      </c>
      <c r="K374" s="2" t="s">
        <v>418</v>
      </c>
      <c r="L374" s="5"/>
      <c r="M374" s="5" t="s">
        <v>418</v>
      </c>
      <c r="N374" s="5" t="s">
        <v>419</v>
      </c>
    </row>
    <row r="375" spans="1:14" x14ac:dyDescent="0.35">
      <c r="A375" s="2">
        <v>374</v>
      </c>
      <c r="B375" s="2" t="s">
        <v>428</v>
      </c>
      <c r="C375" s="2" t="s">
        <v>806</v>
      </c>
      <c r="D375" s="2" t="s">
        <v>10</v>
      </c>
      <c r="E375" s="2">
        <v>2103</v>
      </c>
      <c r="F375" s="2">
        <v>18.25764348014232</v>
      </c>
      <c r="G375" s="2">
        <v>-71.678795073966469</v>
      </c>
      <c r="H375" s="8" t="str">
        <f>HYPERLINK(CONCATENATE("https://faluhong.users.earthengine.app/view/hispaniola-lc-validation#id=PF374;lat=18.257643480142324;lon=-71.67879507396647;year=2000;bf=40;level=18;"), "landsat_time_series")</f>
        <v>landsat_time_series</v>
      </c>
      <c r="I375" s="8" t="str">
        <f>HYPERLINK(CONCATENATE("https://jstnbraaten.users.earthengine.app/view/landsat-timeseries-explorer#run=true;lon=-71.67879507396647;lat=18.257643480142324;from=01-01;to=12-31;index=NBR;rgb=NIR%2FRED%2FGREEN;chipwidth=1;"), "landsat_chips")</f>
        <v>landsat_chips</v>
      </c>
      <c r="J375" s="8" t="str">
        <f>HYPERLINK(CONCATENATE("https://livingatlas.arcgis.com/wayback/#ext=-71.67979507396647,18.258643480142325,-71.67779507396646,18.256643480142323"), "wayback")</f>
        <v>wayback</v>
      </c>
      <c r="K375" s="2" t="s">
        <v>418</v>
      </c>
      <c r="L375" s="5"/>
      <c r="M375" s="5" t="s">
        <v>422</v>
      </c>
      <c r="N375" s="5"/>
    </row>
    <row r="376" spans="1:14" x14ac:dyDescent="0.35">
      <c r="A376" s="2">
        <v>375</v>
      </c>
      <c r="B376" s="2" t="s">
        <v>428</v>
      </c>
      <c r="C376" s="2" t="s">
        <v>807</v>
      </c>
      <c r="D376" s="2" t="s">
        <v>10</v>
      </c>
      <c r="E376" s="2">
        <v>83</v>
      </c>
      <c r="F376" s="2">
        <v>18.960504351036072</v>
      </c>
      <c r="G376" s="2">
        <v>-70.122363601299909</v>
      </c>
      <c r="H376" s="8" t="str">
        <f>HYPERLINK(CONCATENATE("https://faluhong.users.earthengine.app/view/hispaniola-lc-validation#id=PF375;lat=18.96050435103607;lon=-70.12236360129991;year=2000;bf=40;level=18;"), "landsat_time_series")</f>
        <v>landsat_time_series</v>
      </c>
      <c r="I376" s="8" t="str">
        <f>HYPERLINK(CONCATENATE("https://jstnbraaten.users.earthengine.app/view/landsat-timeseries-explorer#run=true;lon=-70.12236360129991;lat=18.96050435103607;from=01-01;to=12-31;index=NBR;rgb=NIR%2FRED%2FGREEN;chipwidth=1;"), "landsat_chips")</f>
        <v>landsat_chips</v>
      </c>
      <c r="J376" s="8" t="str">
        <f>HYPERLINK(CONCATENATE("https://livingatlas.arcgis.com/wayback/#ext=-70.12336360129991,18.961504351036073,-70.1213636012999,18.95950435103607"), "wayback")</f>
        <v>wayback</v>
      </c>
      <c r="K376" s="2" t="s">
        <v>422</v>
      </c>
      <c r="L376" s="5"/>
      <c r="M376" s="5" t="s">
        <v>422</v>
      </c>
      <c r="N376" s="5"/>
    </row>
    <row r="377" spans="1:14" x14ac:dyDescent="0.35">
      <c r="A377" s="2">
        <v>376</v>
      </c>
      <c r="B377" s="2" t="s">
        <v>428</v>
      </c>
      <c r="C377" s="2" t="s">
        <v>808</v>
      </c>
      <c r="D377" s="2" t="s">
        <v>20</v>
      </c>
      <c r="E377" s="2">
        <v>15</v>
      </c>
      <c r="F377" s="2">
        <v>18.58138745968521</v>
      </c>
      <c r="G377" s="2">
        <v>-73.628187061423432</v>
      </c>
      <c r="H377" s="8" t="str">
        <f>HYPERLINK(CONCATENATE("https://faluhong.users.earthengine.app/view/hispaniola-lc-validation#id=PF376;lat=18.58138745968521;lon=-73.62818706142343;year=2000;bf=40;level=18;"), "landsat_time_series")</f>
        <v>landsat_time_series</v>
      </c>
      <c r="I377" s="8" t="str">
        <f>HYPERLINK(CONCATENATE("https://jstnbraaten.users.earthengine.app/view/landsat-timeseries-explorer#run=true;lon=-73.62818706142343;lat=18.58138745968521;from=01-01;to=12-31;index=NBR;rgb=NIR%2FRED%2FGREEN;chipwidth=1;"), "landsat_chips")</f>
        <v>landsat_chips</v>
      </c>
      <c r="J377" s="8" t="str">
        <f>HYPERLINK(CONCATENATE("https://livingatlas.arcgis.com/wayback/#ext=-73.62918706142344,18.58238745968521,-73.62718706142343,18.58038745968521"), "wayback")</f>
        <v>wayback</v>
      </c>
      <c r="K377" s="2" t="s">
        <v>418</v>
      </c>
      <c r="L377" s="5"/>
      <c r="M377" s="5" t="s">
        <v>422</v>
      </c>
      <c r="N377" s="5"/>
    </row>
    <row r="378" spans="1:14" x14ac:dyDescent="0.35">
      <c r="A378" s="2">
        <v>377</v>
      </c>
      <c r="B378" s="2" t="s">
        <v>428</v>
      </c>
      <c r="C378" s="2" t="s">
        <v>809</v>
      </c>
      <c r="D378" s="2" t="s">
        <v>20</v>
      </c>
      <c r="E378" s="2">
        <v>25</v>
      </c>
      <c r="F378" s="2">
        <v>18.221459845784139</v>
      </c>
      <c r="G378" s="2">
        <v>-73.217631906637536</v>
      </c>
      <c r="H378" s="8" t="str">
        <f>HYPERLINK(CONCATENATE("https://faluhong.users.earthengine.app/view/hispaniola-lc-validation#id=PF377;lat=18.22145984578414;lon=-73.21763190663754;year=2000;bf=40;level=18;"), "landsat_time_series")</f>
        <v>landsat_time_series</v>
      </c>
      <c r="I378" s="8" t="str">
        <f>HYPERLINK(CONCATENATE("https://jstnbraaten.users.earthengine.app/view/landsat-timeseries-explorer#run=true;lon=-73.21763190663754;lat=18.22145984578414;from=01-01;to=12-31;index=NBR;rgb=NIR%2FRED%2FGREEN;chipwidth=1;"), "landsat_chips")</f>
        <v>landsat_chips</v>
      </c>
      <c r="J378" s="8" t="str">
        <f>HYPERLINK(CONCATENATE("https://livingatlas.arcgis.com/wayback/#ext=-73.21863190663754,18.22245984578414,-73.21663190663753,18.220459845784138"), "wayback")</f>
        <v>wayback</v>
      </c>
      <c r="K378" s="2" t="s">
        <v>422</v>
      </c>
      <c r="L378" s="5"/>
      <c r="M378" s="5" t="s">
        <v>422</v>
      </c>
      <c r="N378" s="5"/>
    </row>
    <row r="379" spans="1:14" x14ac:dyDescent="0.35">
      <c r="A379" s="2">
        <v>378</v>
      </c>
      <c r="B379" s="2" t="s">
        <v>428</v>
      </c>
      <c r="C379" s="2" t="s">
        <v>810</v>
      </c>
      <c r="D379" s="2" t="s">
        <v>10</v>
      </c>
      <c r="E379" s="2">
        <v>210</v>
      </c>
      <c r="F379" s="2">
        <v>19.23136832551479</v>
      </c>
      <c r="G379" s="2">
        <v>-69.383010957724181</v>
      </c>
      <c r="H379" s="8" t="str">
        <f>HYPERLINK(CONCATENATE("https://faluhong.users.earthengine.app/view/hispaniola-lc-validation#id=PF378;lat=19.231368325514786;lon=-69.38301095772418;year=2000;bf=40;level=18;"), "landsat_time_series")</f>
        <v>landsat_time_series</v>
      </c>
      <c r="I379" s="8" t="str">
        <f>HYPERLINK(CONCATENATE("https://jstnbraaten.users.earthengine.app/view/landsat-timeseries-explorer#run=true;lon=-69.38301095772418;lat=19.231368325514786;from=01-01;to=12-31;index=NBR;rgb=NIR%2FRED%2FGREEN;chipwidth=1;"), "landsat_chips")</f>
        <v>landsat_chips</v>
      </c>
      <c r="J379" s="8" t="str">
        <f>HYPERLINK(CONCATENATE("https://livingatlas.arcgis.com/wayback/#ext=-69.38401095772419,19.232368325514788,-69.38201095772418,19.230368325514785"), "wayback")</f>
        <v>wayback</v>
      </c>
      <c r="K379" s="2" t="s">
        <v>422</v>
      </c>
      <c r="L379" s="5"/>
      <c r="M379" s="5" t="s">
        <v>422</v>
      </c>
      <c r="N379" s="5"/>
    </row>
    <row r="380" spans="1:14" x14ac:dyDescent="0.35">
      <c r="A380" s="2">
        <v>379</v>
      </c>
      <c r="B380" s="2" t="s">
        <v>428</v>
      </c>
      <c r="C380" s="2" t="s">
        <v>811</v>
      </c>
      <c r="D380" s="2" t="s">
        <v>10</v>
      </c>
      <c r="E380" s="2">
        <v>8</v>
      </c>
      <c r="F380" s="2">
        <v>18.569816444143129</v>
      </c>
      <c r="G380" s="2">
        <v>-69.840085337310668</v>
      </c>
      <c r="H380" s="8" t="str">
        <f>HYPERLINK(CONCATENATE("https://faluhong.users.earthengine.app/view/hispaniola-lc-validation#id=PF379;lat=18.569816444143132;lon=-69.84008533731067;year=2000;bf=40;level=18;"), "landsat_time_series")</f>
        <v>landsat_time_series</v>
      </c>
      <c r="I380" s="8" t="str">
        <f>HYPERLINK(CONCATENATE("https://jstnbraaten.users.earthengine.app/view/landsat-timeseries-explorer#run=true;lon=-69.84008533731067;lat=18.569816444143132;from=01-01;to=12-31;index=NBR;rgb=NIR%2FRED%2FGREEN;chipwidth=1;"), "landsat_chips")</f>
        <v>landsat_chips</v>
      </c>
      <c r="J380" s="8" t="str">
        <f>HYPERLINK(CONCATENATE("https://livingatlas.arcgis.com/wayback/#ext=-69.84108533731067,18.570816444143134,-69.83908533731066,18.56881644414313"), "wayback")</f>
        <v>wayback</v>
      </c>
      <c r="K380" s="2" t="s">
        <v>422</v>
      </c>
      <c r="L380" s="5"/>
      <c r="M380" s="5" t="s">
        <v>422</v>
      </c>
      <c r="N380" s="5"/>
    </row>
    <row r="381" spans="1:14" x14ac:dyDescent="0.35">
      <c r="A381" s="2">
        <v>380</v>
      </c>
      <c r="B381" s="2" t="s">
        <v>428</v>
      </c>
      <c r="C381" s="2" t="s">
        <v>812</v>
      </c>
      <c r="D381" s="2" t="s">
        <v>10</v>
      </c>
      <c r="E381" s="2">
        <v>1407</v>
      </c>
      <c r="F381" s="2">
        <v>18.913741197338361</v>
      </c>
      <c r="G381" s="2">
        <v>-70.783369832580632</v>
      </c>
      <c r="H381" s="8" t="str">
        <f>HYPERLINK(CONCATENATE("https://faluhong.users.earthengine.app/view/hispaniola-lc-validation#id=PF380;lat=18.913741197338364;lon=-70.78336983258063;year=2000;bf=40;level=18;"), "landsat_time_series")</f>
        <v>landsat_time_series</v>
      </c>
      <c r="I381" s="8" t="str">
        <f>HYPERLINK(CONCATENATE("https://jstnbraaten.users.earthengine.app/view/landsat-timeseries-explorer#run=true;lon=-70.78336983258063;lat=18.913741197338364;from=01-01;to=12-31;index=NBR;rgb=NIR%2FRED%2FGREEN;chipwidth=1;"), "landsat_chips")</f>
        <v>landsat_chips</v>
      </c>
      <c r="J381" s="8" t="str">
        <f>HYPERLINK(CONCATENATE("https://livingatlas.arcgis.com/wayback/#ext=-70.78436983258064,18.914741197338365,-70.78236983258063,18.912741197338363"), "wayback")</f>
        <v>wayback</v>
      </c>
      <c r="K381" s="2" t="s">
        <v>422</v>
      </c>
      <c r="L381" s="5"/>
      <c r="M381" s="5" t="s">
        <v>422</v>
      </c>
      <c r="N381" s="5"/>
    </row>
    <row r="382" spans="1:14" x14ac:dyDescent="0.35">
      <c r="A382" s="2">
        <v>381</v>
      </c>
      <c r="B382" s="2" t="s">
        <v>428</v>
      </c>
      <c r="C382" s="2" t="s">
        <v>813</v>
      </c>
      <c r="D382" s="2" t="s">
        <v>20</v>
      </c>
      <c r="E382" s="2">
        <v>32</v>
      </c>
      <c r="F382" s="2">
        <v>19.096907550251949</v>
      </c>
      <c r="G382" s="2">
        <v>-72.488830608427747</v>
      </c>
      <c r="H382" s="8" t="str">
        <f>HYPERLINK(CONCATENATE("https://faluhong.users.earthengine.app/view/hispaniola-lc-validation#id=PF381;lat=19.09690755025195;lon=-72.48883060842775;year=2000;bf=40;level=18;"), "landsat_time_series")</f>
        <v>landsat_time_series</v>
      </c>
      <c r="I382" s="8" t="str">
        <f>HYPERLINK(CONCATENATE("https://jstnbraaten.users.earthengine.app/view/landsat-timeseries-explorer#run=true;lon=-72.48883060842775;lat=19.09690755025195;from=01-01;to=12-31;index=NBR;rgb=NIR%2FRED%2FGREEN;chipwidth=1;"), "landsat_chips")</f>
        <v>landsat_chips</v>
      </c>
      <c r="J382" s="8" t="str">
        <f>HYPERLINK(CONCATENATE("https://livingatlas.arcgis.com/wayback/#ext=-72.48983060842775,19.09790755025195,-72.48783060842774,19.095907550251948"), "wayback")</f>
        <v>wayback</v>
      </c>
      <c r="K382" s="2" t="s">
        <v>422</v>
      </c>
      <c r="L382" s="5"/>
      <c r="M382" s="5" t="s">
        <v>422</v>
      </c>
      <c r="N382" s="5"/>
    </row>
    <row r="383" spans="1:14" x14ac:dyDescent="0.35">
      <c r="A383" s="2">
        <v>382</v>
      </c>
      <c r="B383" s="2" t="s">
        <v>428</v>
      </c>
      <c r="C383" s="2" t="s">
        <v>814</v>
      </c>
      <c r="D383" s="2" t="s">
        <v>10</v>
      </c>
      <c r="E383" s="2">
        <v>406</v>
      </c>
      <c r="F383" s="2">
        <v>18.418778249724401</v>
      </c>
      <c r="G383" s="2">
        <v>-70.563575757605889</v>
      </c>
      <c r="H383" s="8" t="str">
        <f>HYPERLINK(CONCATENATE("https://faluhong.users.earthengine.app/view/hispaniola-lc-validation#id=PF382;lat=18.418778249724397;lon=-70.56357575760589;year=2000;bf=40;level=18;"), "landsat_time_series")</f>
        <v>landsat_time_series</v>
      </c>
      <c r="I383" s="8" t="str">
        <f>HYPERLINK(CONCATENATE("https://jstnbraaten.users.earthengine.app/view/landsat-timeseries-explorer#run=true;lon=-70.56357575760589;lat=18.418778249724397;from=01-01;to=12-31;index=NBR;rgb=NIR%2FRED%2FGREEN;chipwidth=1;"), "landsat_chips")</f>
        <v>landsat_chips</v>
      </c>
      <c r="J383" s="8" t="str">
        <f>HYPERLINK(CONCATENATE("https://livingatlas.arcgis.com/wayback/#ext=-70.5645757576059,18.4197782497244,-70.56257575760588,18.417778249724396"), "wayback")</f>
        <v>wayback</v>
      </c>
      <c r="K383" s="2" t="s">
        <v>422</v>
      </c>
      <c r="L383" s="5"/>
      <c r="M383" s="5" t="s">
        <v>422</v>
      </c>
      <c r="N383" s="5"/>
    </row>
    <row r="384" spans="1:14" x14ac:dyDescent="0.35">
      <c r="A384" s="2">
        <v>383</v>
      </c>
      <c r="B384" s="2" t="s">
        <v>428</v>
      </c>
      <c r="C384" s="2" t="s">
        <v>815</v>
      </c>
      <c r="D384" s="2" t="s">
        <v>10</v>
      </c>
      <c r="E384" s="2">
        <v>231</v>
      </c>
      <c r="F384" s="2">
        <v>18.996822582156391</v>
      </c>
      <c r="G384" s="2">
        <v>-69.847173224289406</v>
      </c>
      <c r="H384" s="8" t="str">
        <f>HYPERLINK(CONCATENATE("https://faluhong.users.earthengine.app/view/hispaniola-lc-validation#id=PF383;lat=18.99682258215639;lon=-69.8471732242894;year=2000;bf=40;level=18;"), "landsat_time_series")</f>
        <v>landsat_time_series</v>
      </c>
      <c r="I384" s="8" t="str">
        <f>HYPERLINK(CONCATENATE("https://jstnbraaten.users.earthengine.app/view/landsat-timeseries-explorer#run=true;lon=-69.8471732242894;lat=18.99682258215639;from=01-01;to=12-31;index=NBR;rgb=NIR%2FRED%2FGREEN;chipwidth=1;"), "landsat_chips")</f>
        <v>landsat_chips</v>
      </c>
      <c r="J384" s="8" t="str">
        <f>HYPERLINK(CONCATENATE("https://livingatlas.arcgis.com/wayback/#ext=-69.84817322428941,18.99782258215639,-69.8461732242894,18.99582258215639"), "wayback")</f>
        <v>wayback</v>
      </c>
      <c r="K384" s="2" t="s">
        <v>422</v>
      </c>
      <c r="L384" s="5"/>
      <c r="M384" s="5" t="s">
        <v>422</v>
      </c>
      <c r="N384" s="5"/>
    </row>
    <row r="385" spans="1:14" x14ac:dyDescent="0.35">
      <c r="A385" s="2">
        <v>384</v>
      </c>
      <c r="B385" s="2" t="s">
        <v>428</v>
      </c>
      <c r="C385" s="2" t="s">
        <v>816</v>
      </c>
      <c r="D385" s="2" t="s">
        <v>10</v>
      </c>
      <c r="E385" s="2">
        <v>6</v>
      </c>
      <c r="F385" s="2">
        <v>19.203500458364601</v>
      </c>
      <c r="G385" s="2">
        <v>-69.662231700565073</v>
      </c>
      <c r="H385" s="8" t="str">
        <f>HYPERLINK(CONCATENATE("https://faluhong.users.earthengine.app/view/hispaniola-lc-validation#id=PF384;lat=19.203500458364598;lon=-69.66223170056507;year=2000;bf=40;level=18;"), "landsat_time_series")</f>
        <v>landsat_time_series</v>
      </c>
      <c r="I385" s="8" t="str">
        <f>HYPERLINK(CONCATENATE("https://jstnbraaten.users.earthengine.app/view/landsat-timeseries-explorer#run=true;lon=-69.66223170056507;lat=19.203500458364598;from=01-01;to=12-31;index=NBR;rgb=NIR%2FRED%2FGREEN;chipwidth=1;"), "landsat_chips")</f>
        <v>landsat_chips</v>
      </c>
      <c r="J385" s="8" t="str">
        <f>HYPERLINK(CONCATENATE("https://livingatlas.arcgis.com/wayback/#ext=-69.66323170056508,19.2045004583646,-69.66123170056507,19.202500458364597"), "wayback")</f>
        <v>wayback</v>
      </c>
      <c r="K385" s="2" t="s">
        <v>422</v>
      </c>
      <c r="L385" s="5"/>
      <c r="M385" s="5" t="s">
        <v>422</v>
      </c>
      <c r="N385" s="5"/>
    </row>
    <row r="386" spans="1:14" x14ac:dyDescent="0.35">
      <c r="A386" s="2">
        <v>385</v>
      </c>
      <c r="B386" s="2" t="s">
        <v>428</v>
      </c>
      <c r="C386" s="2" t="s">
        <v>817</v>
      </c>
      <c r="D386" s="2" t="s">
        <v>10</v>
      </c>
      <c r="E386" s="2">
        <v>75</v>
      </c>
      <c r="F386" s="2">
        <v>18.541816447695329</v>
      </c>
      <c r="G386" s="2">
        <v>-71.887486978683057</v>
      </c>
      <c r="H386" s="8" t="str">
        <f>HYPERLINK(CONCATENATE("https://faluhong.users.earthengine.app/view/hispaniola-lc-validation#id=PF385;lat=18.54181644769533;lon=-71.88748697868306;year=2000;bf=40;level=18;"), "landsat_time_series")</f>
        <v>landsat_time_series</v>
      </c>
      <c r="I386" s="8" t="str">
        <f>HYPERLINK(CONCATENATE("https://jstnbraaten.users.earthengine.app/view/landsat-timeseries-explorer#run=true;lon=-71.88748697868306;lat=18.54181644769533;from=01-01;to=12-31;index=NBR;rgb=NIR%2FRED%2FGREEN;chipwidth=1;"), "landsat_chips")</f>
        <v>landsat_chips</v>
      </c>
      <c r="J386" s="8" t="str">
        <f>HYPERLINK(CONCATENATE("https://livingatlas.arcgis.com/wayback/#ext=-71.88848697868306,18.54281644769533,-71.88648697868305,18.540816447695327"), "wayback")</f>
        <v>wayback</v>
      </c>
      <c r="K386" s="2" t="s">
        <v>422</v>
      </c>
      <c r="L386" s="5"/>
      <c r="M386" s="5" t="s">
        <v>422</v>
      </c>
      <c r="N386" s="5"/>
    </row>
    <row r="387" spans="1:14" x14ac:dyDescent="0.35">
      <c r="A387" s="2">
        <v>386</v>
      </c>
      <c r="B387" s="2" t="s">
        <v>428</v>
      </c>
      <c r="C387" s="2" t="s">
        <v>818</v>
      </c>
      <c r="D387" s="2" t="s">
        <v>20</v>
      </c>
      <c r="E387" s="2">
        <v>121</v>
      </c>
      <c r="F387" s="2">
        <v>18.89223430516131</v>
      </c>
      <c r="G387" s="2">
        <v>-73.240140975525989</v>
      </c>
      <c r="H387" s="8" t="str">
        <f>HYPERLINK(CONCATENATE("https://faluhong.users.earthengine.app/view/hispaniola-lc-validation#id=PF386;lat=18.892234305161313;lon=-73.24014097552599;year=2000;bf=40;level=18;"), "landsat_time_series")</f>
        <v>landsat_time_series</v>
      </c>
      <c r="I387" s="8" t="str">
        <f>HYPERLINK(CONCATENATE("https://jstnbraaten.users.earthengine.app/view/landsat-timeseries-explorer#run=true;lon=-73.24014097552599;lat=18.892234305161313;from=01-01;to=12-31;index=NBR;rgb=NIR%2FRED%2FGREEN;chipwidth=1;"), "landsat_chips")</f>
        <v>landsat_chips</v>
      </c>
      <c r="J387" s="8" t="str">
        <f>HYPERLINK(CONCATENATE("https://livingatlas.arcgis.com/wayback/#ext=-73.241140975526,18.893234305161315,-73.23914097552598,18.891234305161312"), "wayback")</f>
        <v>wayback</v>
      </c>
      <c r="K387" s="2" t="s">
        <v>422</v>
      </c>
      <c r="L387" s="5"/>
      <c r="M387" s="5" t="s">
        <v>422</v>
      </c>
      <c r="N387" s="5"/>
    </row>
    <row r="388" spans="1:14" x14ac:dyDescent="0.35">
      <c r="A388" s="2">
        <v>387</v>
      </c>
      <c r="B388" s="2" t="s">
        <v>428</v>
      </c>
      <c r="C388" s="2" t="s">
        <v>819</v>
      </c>
      <c r="D388" s="2" t="s">
        <v>10</v>
      </c>
      <c r="E388" s="2">
        <v>346</v>
      </c>
      <c r="F388" s="2">
        <v>19.364521581343599</v>
      </c>
      <c r="G388" s="2">
        <v>-71.46239584044055</v>
      </c>
      <c r="H388" s="8" t="str">
        <f>HYPERLINK(CONCATENATE("https://faluhong.users.earthengine.app/view/hispaniola-lc-validation#id=PF387;lat=19.364521581343595;lon=-71.46239584044055;year=2000;bf=40;level=18;"), "landsat_time_series")</f>
        <v>landsat_time_series</v>
      </c>
      <c r="I388" s="8" t="str">
        <f>HYPERLINK(CONCATENATE("https://jstnbraaten.users.earthengine.app/view/landsat-timeseries-explorer#run=true;lon=-71.46239584044055;lat=19.364521581343595;from=01-01;to=12-31;index=NBR;rgb=NIR%2FRED%2FGREEN;chipwidth=1;"), "landsat_chips")</f>
        <v>landsat_chips</v>
      </c>
      <c r="J388" s="8" t="str">
        <f>HYPERLINK(CONCATENATE("https://livingatlas.arcgis.com/wayback/#ext=-71.46339584044055,19.365521581343597,-71.46139584044055,19.363521581343594"), "wayback")</f>
        <v>wayback</v>
      </c>
      <c r="K388" s="2" t="s">
        <v>422</v>
      </c>
      <c r="L388" s="5"/>
      <c r="M388" s="5" t="s">
        <v>422</v>
      </c>
      <c r="N388" s="5"/>
    </row>
    <row r="389" spans="1:14" x14ac:dyDescent="0.35">
      <c r="A389" s="2">
        <v>388</v>
      </c>
      <c r="B389" s="2" t="s">
        <v>428</v>
      </c>
      <c r="C389" s="2" t="s">
        <v>820</v>
      </c>
      <c r="D389" s="2" t="s">
        <v>10</v>
      </c>
      <c r="E389" s="2">
        <v>89</v>
      </c>
      <c r="F389" s="2">
        <v>18.491239860550351</v>
      </c>
      <c r="G389" s="2">
        <v>-71.825305046502862</v>
      </c>
      <c r="H389" s="8" t="str">
        <f>HYPERLINK(CONCATENATE("https://faluhong.users.earthengine.app/view/hispaniola-lc-validation#id=PF388;lat=18.49123986055035;lon=-71.82530504650286;year=2000;bf=40;level=18;"), "landsat_time_series")</f>
        <v>landsat_time_series</v>
      </c>
      <c r="I389" s="8" t="str">
        <f>HYPERLINK(CONCATENATE("https://jstnbraaten.users.earthengine.app/view/landsat-timeseries-explorer#run=true;lon=-71.82530504650286;lat=18.49123986055035;from=01-01;to=12-31;index=NBR;rgb=NIR%2FRED%2FGREEN;chipwidth=1;"), "landsat_chips")</f>
        <v>landsat_chips</v>
      </c>
      <c r="J389" s="8" t="str">
        <f>HYPERLINK(CONCATENATE("https://livingatlas.arcgis.com/wayback/#ext=-71.82630504650287,18.492239860550352,-71.82430504650286,18.49023986055035"), "wayback")</f>
        <v>wayback</v>
      </c>
      <c r="K389" s="2" t="s">
        <v>422</v>
      </c>
      <c r="L389" s="5"/>
      <c r="M389" s="5" t="s">
        <v>422</v>
      </c>
      <c r="N389" s="5"/>
    </row>
    <row r="390" spans="1:14" x14ac:dyDescent="0.35">
      <c r="A390" s="2">
        <v>389</v>
      </c>
      <c r="B390" s="2" t="s">
        <v>428</v>
      </c>
      <c r="C390" s="2" t="s">
        <v>821</v>
      </c>
      <c r="D390" s="2" t="s">
        <v>10</v>
      </c>
      <c r="E390" s="2">
        <v>74</v>
      </c>
      <c r="F390" s="2">
        <v>18.694852448610199</v>
      </c>
      <c r="G390" s="2">
        <v>-69.066138742761069</v>
      </c>
      <c r="H390" s="8" t="str">
        <f>HYPERLINK(CONCATENATE("https://faluhong.users.earthengine.app/view/hispaniola-lc-validation#id=PF389;lat=18.6948524486102;lon=-69.06613874276107;year=2000;bf=40;level=18;"), "landsat_time_series")</f>
        <v>landsat_time_series</v>
      </c>
      <c r="I390" s="8" t="str">
        <f>HYPERLINK(CONCATENATE("https://jstnbraaten.users.earthengine.app/view/landsat-timeseries-explorer#run=true;lon=-69.06613874276107;lat=18.6948524486102;from=01-01;to=12-31;index=NBR;rgb=NIR%2FRED%2FGREEN;chipwidth=1;"), "landsat_chips")</f>
        <v>landsat_chips</v>
      </c>
      <c r="J390" s="8" t="str">
        <f>HYPERLINK(CONCATENATE("https://livingatlas.arcgis.com/wayback/#ext=-69.06713874276107,18.6958524486102,-69.06513874276106,18.693852448610198"), "wayback")</f>
        <v>wayback</v>
      </c>
      <c r="K390" s="2" t="s">
        <v>422</v>
      </c>
      <c r="L390" s="5"/>
      <c r="M390" s="5" t="s">
        <v>422</v>
      </c>
      <c r="N390" s="5"/>
    </row>
    <row r="391" spans="1:14" x14ac:dyDescent="0.35">
      <c r="A391" s="2">
        <v>390</v>
      </c>
      <c r="B391" s="2" t="s">
        <v>428</v>
      </c>
      <c r="C391" s="2" t="s">
        <v>822</v>
      </c>
      <c r="D391" s="2" t="s">
        <v>20</v>
      </c>
      <c r="E391" s="2">
        <v>855</v>
      </c>
      <c r="F391" s="2">
        <v>18.282599374106109</v>
      </c>
      <c r="G391" s="2">
        <v>-73.995657862075987</v>
      </c>
      <c r="H391" s="8" t="str">
        <f>HYPERLINK(CONCATENATE("https://faluhong.users.earthengine.app/view/hispaniola-lc-validation#id=PF390;lat=18.282599374106113;lon=-73.99565786207599;year=2000;bf=40;level=18;"), "landsat_time_series")</f>
        <v>landsat_time_series</v>
      </c>
      <c r="I391" s="8" t="str">
        <f>HYPERLINK(CONCATENATE("https://jstnbraaten.users.earthengine.app/view/landsat-timeseries-explorer#run=true;lon=-73.99565786207599;lat=18.282599374106113;from=01-01;to=12-31;index=NBR;rgb=NIR%2FRED%2FGREEN;chipwidth=1;"), "landsat_chips")</f>
        <v>landsat_chips</v>
      </c>
      <c r="J391" s="8" t="str">
        <f>HYPERLINK(CONCATENATE("https://livingatlas.arcgis.com/wayback/#ext=-73.99665786207599,18.283599374106114,-73.99465786207598,18.28159937410611"), "wayback")</f>
        <v>wayback</v>
      </c>
      <c r="K391" s="2" t="s">
        <v>422</v>
      </c>
      <c r="L391" s="5"/>
      <c r="M391" s="5" t="s">
        <v>422</v>
      </c>
      <c r="N391" s="5"/>
    </row>
    <row r="392" spans="1:14" x14ac:dyDescent="0.35">
      <c r="A392" s="2">
        <v>391</v>
      </c>
      <c r="B392" s="2" t="s">
        <v>428</v>
      </c>
      <c r="C392" s="2" t="s">
        <v>823</v>
      </c>
      <c r="D392" s="2" t="s">
        <v>10</v>
      </c>
      <c r="E392" s="2">
        <v>28</v>
      </c>
      <c r="F392" s="2">
        <v>18.617926266328229</v>
      </c>
      <c r="G392" s="2">
        <v>-69.622826749644133</v>
      </c>
      <c r="H392" s="8" t="str">
        <f>HYPERLINK(CONCATENATE("https://faluhong.users.earthengine.app/view/hispaniola-lc-validation#id=PF391;lat=18.617926266328233;lon=-69.62282674964413;year=2000;bf=40;level=18;"), "landsat_time_series")</f>
        <v>landsat_time_series</v>
      </c>
      <c r="I392" s="8" t="str">
        <f>HYPERLINK(CONCATENATE("https://jstnbraaten.users.earthengine.app/view/landsat-timeseries-explorer#run=true;lon=-69.62282674964413;lat=18.617926266328233;from=01-01;to=12-31;index=NBR;rgb=NIR%2FRED%2FGREEN;chipwidth=1;"), "landsat_chips")</f>
        <v>landsat_chips</v>
      </c>
      <c r="J392" s="8" t="str">
        <f>HYPERLINK(CONCATENATE("https://livingatlas.arcgis.com/wayback/#ext=-69.62382674964414,18.618926266328234,-69.62182674964413,18.61692626632823"), "wayback")</f>
        <v>wayback</v>
      </c>
      <c r="K392" s="2" t="s">
        <v>422</v>
      </c>
      <c r="L392" s="5"/>
      <c r="M392" s="5" t="s">
        <v>422</v>
      </c>
      <c r="N392" s="5"/>
    </row>
    <row r="393" spans="1:14" x14ac:dyDescent="0.35">
      <c r="A393" s="2">
        <v>392</v>
      </c>
      <c r="B393" s="2" t="s">
        <v>428</v>
      </c>
      <c r="C393" s="2" t="s">
        <v>824</v>
      </c>
      <c r="D393" s="2" t="s">
        <v>20</v>
      </c>
      <c r="E393" s="2">
        <v>725</v>
      </c>
      <c r="F393" s="2">
        <v>18.457828457825329</v>
      </c>
      <c r="G393" s="2">
        <v>-71.948536131392558</v>
      </c>
      <c r="H393" s="8" t="str">
        <f>HYPERLINK(CONCATENATE("https://faluhong.users.earthengine.app/view/hispaniola-lc-validation#id=PF392;lat=18.457828457825332;lon=-71.94853613139256;year=2000;bf=40;level=18;"), "landsat_time_series")</f>
        <v>landsat_time_series</v>
      </c>
      <c r="I393" s="8" t="str">
        <f>HYPERLINK(CONCATENATE("https://jstnbraaten.users.earthengine.app/view/landsat-timeseries-explorer#run=true;lon=-71.94853613139256;lat=18.457828457825332;from=01-01;to=12-31;index=NBR;rgb=NIR%2FRED%2FGREEN;chipwidth=1;"), "landsat_chips")</f>
        <v>landsat_chips</v>
      </c>
      <c r="J393" s="8" t="str">
        <f>HYPERLINK(CONCATENATE("https://livingatlas.arcgis.com/wayback/#ext=-71.94953613139256,18.458828457825334,-71.94753613139255,18.45682845782533"), "wayback")</f>
        <v>wayback</v>
      </c>
      <c r="K393" s="2" t="s">
        <v>422</v>
      </c>
      <c r="L393" s="5"/>
      <c r="M393" s="5" t="s">
        <v>422</v>
      </c>
      <c r="N393" s="5"/>
    </row>
    <row r="394" spans="1:14" x14ac:dyDescent="0.35">
      <c r="A394" s="2">
        <v>393</v>
      </c>
      <c r="B394" s="2" t="s">
        <v>428</v>
      </c>
      <c r="C394" s="2" t="s">
        <v>825</v>
      </c>
      <c r="D394" s="2" t="s">
        <v>10</v>
      </c>
      <c r="E394" s="2">
        <v>2490</v>
      </c>
      <c r="F394" s="2">
        <v>19.02573996131823</v>
      </c>
      <c r="G394" s="2">
        <v>-71.032397725862225</v>
      </c>
      <c r="H394" s="8" t="str">
        <f>HYPERLINK(CONCATENATE("https://faluhong.users.earthengine.app/view/hispaniola-lc-validation#id=PF393;lat=19.02573996131823;lon=-71.03239772586223;year=2000;bf=40;level=18;"), "landsat_time_series")</f>
        <v>landsat_time_series</v>
      </c>
      <c r="I394" s="8" t="str">
        <f>HYPERLINK(CONCATENATE("https://jstnbraaten.users.earthengine.app/view/landsat-timeseries-explorer#run=true;lon=-71.03239772586223;lat=19.02573996131823;from=01-01;to=12-31;index=NBR;rgb=NIR%2FRED%2FGREEN;chipwidth=1;"), "landsat_chips")</f>
        <v>landsat_chips</v>
      </c>
      <c r="J394" s="8" t="str">
        <f>HYPERLINK(CONCATENATE("https://livingatlas.arcgis.com/wayback/#ext=-71.03339772586223,19.02673996131823,-71.03139772586222,19.02473996131823"), "wayback")</f>
        <v>wayback</v>
      </c>
      <c r="K394" s="2" t="s">
        <v>418</v>
      </c>
      <c r="L394" s="5"/>
      <c r="M394" s="5" t="s">
        <v>418</v>
      </c>
      <c r="N394" s="5" t="s">
        <v>419</v>
      </c>
    </row>
    <row r="395" spans="1:14" x14ac:dyDescent="0.35">
      <c r="A395" s="2">
        <v>394</v>
      </c>
      <c r="B395" s="2" t="s">
        <v>428</v>
      </c>
      <c r="C395" s="2" t="s">
        <v>826</v>
      </c>
      <c r="D395" s="2" t="s">
        <v>20</v>
      </c>
      <c r="E395" s="2">
        <v>99</v>
      </c>
      <c r="F395" s="2">
        <v>19.57204706775611</v>
      </c>
      <c r="G395" s="2">
        <v>-71.924719691388972</v>
      </c>
      <c r="H395" s="8" t="str">
        <f>HYPERLINK(CONCATENATE("https://faluhong.users.earthengine.app/view/hispaniola-lc-validation#id=PF394;lat=19.57204706775611;lon=-71.92471969138897;year=2000;bf=40;level=18;"), "landsat_time_series")</f>
        <v>landsat_time_series</v>
      </c>
      <c r="I395" s="8" t="str">
        <f>HYPERLINK(CONCATENATE("https://jstnbraaten.users.earthengine.app/view/landsat-timeseries-explorer#run=true;lon=-71.92471969138897;lat=19.57204706775611;from=01-01;to=12-31;index=NBR;rgb=NIR%2FRED%2FGREEN;chipwidth=1;"), "landsat_chips")</f>
        <v>landsat_chips</v>
      </c>
      <c r="J395" s="8" t="str">
        <f>HYPERLINK(CONCATENATE("https://livingatlas.arcgis.com/wayback/#ext=-71.92571969138898,19.57304706775611,-71.92371969138897,19.57104706775611"), "wayback")</f>
        <v>wayback</v>
      </c>
      <c r="K395" s="2" t="s">
        <v>422</v>
      </c>
      <c r="L395" s="5"/>
      <c r="M395" s="5" t="s">
        <v>422</v>
      </c>
      <c r="N395" s="5"/>
    </row>
    <row r="396" spans="1:14" x14ac:dyDescent="0.35">
      <c r="A396" s="2">
        <v>395</v>
      </c>
      <c r="B396" s="2" t="s">
        <v>428</v>
      </c>
      <c r="C396" s="2" t="s">
        <v>827</v>
      </c>
      <c r="D396" s="2" t="s">
        <v>10</v>
      </c>
      <c r="E396" s="2">
        <v>713</v>
      </c>
      <c r="F396" s="2">
        <v>19.080399686366089</v>
      </c>
      <c r="G396" s="2">
        <v>-70.688103570154439</v>
      </c>
      <c r="H396" s="8" t="str">
        <f>HYPERLINK(CONCATENATE("https://faluhong.users.earthengine.app/view/hispaniola-lc-validation#id=PF395;lat=19.080399686366093;lon=-70.68810357015444;year=2000;bf=40;level=18;"), "landsat_time_series")</f>
        <v>landsat_time_series</v>
      </c>
      <c r="I396" s="8" t="str">
        <f>HYPERLINK(CONCATENATE("https://jstnbraaten.users.earthengine.app/view/landsat-timeseries-explorer#run=true;lon=-70.68810357015444;lat=19.080399686366093;from=01-01;to=12-31;index=NBR;rgb=NIR%2FRED%2FGREEN;chipwidth=1;"), "landsat_chips")</f>
        <v>landsat_chips</v>
      </c>
      <c r="J396" s="8" t="str">
        <f>HYPERLINK(CONCATENATE("https://livingatlas.arcgis.com/wayback/#ext=-70.68910357015444,19.081399686366094,-70.68710357015443,19.07939968636609"), "wayback")</f>
        <v>wayback</v>
      </c>
      <c r="K396" s="2" t="s">
        <v>422</v>
      </c>
      <c r="L396" s="5"/>
      <c r="M396" s="5" t="s">
        <v>422</v>
      </c>
      <c r="N396" s="5"/>
    </row>
    <row r="397" spans="1:14" x14ac:dyDescent="0.35">
      <c r="A397" s="2">
        <v>396</v>
      </c>
      <c r="B397" s="2" t="s">
        <v>428</v>
      </c>
      <c r="C397" s="2" t="s">
        <v>828</v>
      </c>
      <c r="D397" s="2" t="s">
        <v>20</v>
      </c>
      <c r="E397" s="2">
        <v>742</v>
      </c>
      <c r="F397" s="2">
        <v>19.190041697253509</v>
      </c>
      <c r="G397" s="2">
        <v>-72.314936259366448</v>
      </c>
      <c r="H397" s="8" t="str">
        <f>HYPERLINK(CONCATENATE("https://faluhong.users.earthengine.app/view/hispaniola-lc-validation#id=PF396;lat=19.190041697253513;lon=-72.31493625936645;year=2000;bf=40;level=18;"), "landsat_time_series")</f>
        <v>landsat_time_series</v>
      </c>
      <c r="I397" s="8" t="str">
        <f>HYPERLINK(CONCATENATE("https://jstnbraaten.users.earthengine.app/view/landsat-timeseries-explorer#run=true;lon=-72.31493625936645;lat=19.190041697253513;from=01-01;to=12-31;index=NBR;rgb=NIR%2FRED%2FGREEN;chipwidth=1;"), "landsat_chips")</f>
        <v>landsat_chips</v>
      </c>
      <c r="J397" s="8" t="str">
        <f>HYPERLINK(CONCATENATE("https://livingatlas.arcgis.com/wayback/#ext=-72.31593625936645,19.191041697253514,-72.31393625936644,19.18904169725351"), "wayback")</f>
        <v>wayback</v>
      </c>
      <c r="K397" s="2" t="s">
        <v>422</v>
      </c>
      <c r="L397" s="5"/>
      <c r="M397" s="5" t="s">
        <v>422</v>
      </c>
      <c r="N397" s="5"/>
    </row>
    <row r="398" spans="1:14" x14ac:dyDescent="0.35">
      <c r="A398" s="2">
        <v>397</v>
      </c>
      <c r="B398" s="2" t="s">
        <v>428</v>
      </c>
      <c r="C398" s="2" t="s">
        <v>829</v>
      </c>
      <c r="D398" s="2" t="s">
        <v>10</v>
      </c>
      <c r="E398" s="2">
        <v>401</v>
      </c>
      <c r="F398" s="2">
        <v>18.700009278820549</v>
      </c>
      <c r="G398" s="2">
        <v>-70.971964316216997</v>
      </c>
      <c r="H398" s="8" t="str">
        <f>HYPERLINK(CONCATENATE("https://faluhong.users.earthengine.app/view/hispaniola-lc-validation#id=PF397;lat=18.70000927882055;lon=-70.971964316217;year=2000;bf=40;level=18;"), "landsat_time_series")</f>
        <v>landsat_time_series</v>
      </c>
      <c r="I398" s="8" t="str">
        <f>HYPERLINK(CONCATENATE("https://jstnbraaten.users.earthengine.app/view/landsat-timeseries-explorer#run=true;lon=-70.971964316217;lat=18.70000927882055;from=01-01;to=12-31;index=NBR;rgb=NIR%2FRED%2FGREEN;chipwidth=1;"), "landsat_chips")</f>
        <v>landsat_chips</v>
      </c>
      <c r="J398" s="8" t="str">
        <f>HYPERLINK(CONCATENATE("https://livingatlas.arcgis.com/wayback/#ext=-70.972964316217,18.70100927882055,-70.97096431621699,18.699009278820547"), "wayback")</f>
        <v>wayback</v>
      </c>
      <c r="K398" s="2" t="s">
        <v>422</v>
      </c>
      <c r="L398" s="5"/>
      <c r="M398" s="5" t="s">
        <v>422</v>
      </c>
      <c r="N398" s="5"/>
    </row>
    <row r="399" spans="1:14" x14ac:dyDescent="0.35">
      <c r="A399" s="2">
        <v>398</v>
      </c>
      <c r="B399" s="2" t="s">
        <v>428</v>
      </c>
      <c r="C399" s="2" t="s">
        <v>830</v>
      </c>
      <c r="D399" s="2" t="s">
        <v>10</v>
      </c>
      <c r="E399" s="2">
        <v>365</v>
      </c>
      <c r="F399" s="2">
        <v>19.421669737262121</v>
      </c>
      <c r="G399" s="2">
        <v>-71.167804892345941</v>
      </c>
      <c r="H399" s="8" t="str">
        <f>HYPERLINK(CONCATENATE("https://faluhong.users.earthengine.app/view/hispaniola-lc-validation#id=PF398;lat=19.421669737262125;lon=-71.16780489234594;year=2000;bf=40;level=18;"), "landsat_time_series")</f>
        <v>landsat_time_series</v>
      </c>
      <c r="I399" s="8" t="str">
        <f>HYPERLINK(CONCATENATE("https://jstnbraaten.users.earthengine.app/view/landsat-timeseries-explorer#run=true;lon=-71.16780489234594;lat=19.421669737262125;from=01-01;to=12-31;index=NBR;rgb=NIR%2FRED%2FGREEN;chipwidth=1;"), "landsat_chips")</f>
        <v>landsat_chips</v>
      </c>
      <c r="J399" s="8" t="str">
        <f>HYPERLINK(CONCATENATE("https://livingatlas.arcgis.com/wayback/#ext=-71.16880489234595,19.422669737262126,-71.16680489234594,19.420669737262124"), "wayback")</f>
        <v>wayback</v>
      </c>
      <c r="K399" s="2" t="s">
        <v>422</v>
      </c>
      <c r="L399" s="5"/>
      <c r="M399" s="5" t="s">
        <v>422</v>
      </c>
      <c r="N399" s="5"/>
    </row>
    <row r="400" spans="1:14" x14ac:dyDescent="0.35">
      <c r="A400" s="2">
        <v>399</v>
      </c>
      <c r="B400" s="2" t="s">
        <v>428</v>
      </c>
      <c r="C400" s="2" t="s">
        <v>831</v>
      </c>
      <c r="D400" s="2" t="s">
        <v>10</v>
      </c>
      <c r="E400" s="2">
        <v>54</v>
      </c>
      <c r="F400" s="2">
        <v>19.814759298414639</v>
      </c>
      <c r="G400" s="2">
        <v>-70.947431347298874</v>
      </c>
      <c r="H400" s="8" t="str">
        <f>HYPERLINK(CONCATENATE("https://faluhong.users.earthengine.app/view/hispaniola-lc-validation#id=PF399;lat=19.81475929841464;lon=-70.94743134729887;year=2000;bf=40;level=18;"), "landsat_time_series")</f>
        <v>landsat_time_series</v>
      </c>
      <c r="I400" s="8" t="str">
        <f>HYPERLINK(CONCATENATE("https://jstnbraaten.users.earthengine.app/view/landsat-timeseries-explorer#run=true;lon=-70.94743134729887;lat=19.81475929841464;from=01-01;to=12-31;index=NBR;rgb=NIR%2FRED%2FGREEN;chipwidth=1;"), "landsat_chips")</f>
        <v>landsat_chips</v>
      </c>
      <c r="J400" s="8" t="str">
        <f>HYPERLINK(CONCATENATE("https://livingatlas.arcgis.com/wayback/#ext=-70.94843134729888,19.81575929841464,-70.94643134729887,19.813759298414638"), "wayback")</f>
        <v>wayback</v>
      </c>
      <c r="K400" s="2" t="s">
        <v>422</v>
      </c>
      <c r="L400" s="5"/>
      <c r="M400" s="5" t="s">
        <v>422</v>
      </c>
      <c r="N400" s="5"/>
    </row>
    <row r="401" spans="1:14" x14ac:dyDescent="0.35">
      <c r="A401" s="2">
        <v>400</v>
      </c>
      <c r="B401" s="2" t="s">
        <v>428</v>
      </c>
      <c r="C401" s="2" t="s">
        <v>832</v>
      </c>
      <c r="D401" s="2" t="s">
        <v>20</v>
      </c>
      <c r="E401" s="2">
        <v>32</v>
      </c>
      <c r="F401" s="2">
        <v>18.055464958404791</v>
      </c>
      <c r="G401" s="2">
        <v>-71.752790603745254</v>
      </c>
      <c r="H401" s="8" t="str">
        <f>HYPERLINK(CONCATENATE("https://faluhong.users.earthengine.app/view/hispaniola-lc-validation#id=PF400;lat=18.055464958404787;lon=-71.75279060374525;year=2000;bf=40;level=18;"), "landsat_time_series")</f>
        <v>landsat_time_series</v>
      </c>
      <c r="I401" s="8" t="str">
        <f>HYPERLINK(CONCATENATE("https://jstnbraaten.users.earthengine.app/view/landsat-timeseries-explorer#run=true;lon=-71.75279060374525;lat=18.055464958404787;from=01-01;to=12-31;index=NBR;rgb=NIR%2FRED%2FGREEN;chipwidth=1;"), "landsat_chips")</f>
        <v>landsat_chips</v>
      </c>
      <c r="J401" s="8" t="str">
        <f>HYPERLINK(CONCATENATE("https://livingatlas.arcgis.com/wayback/#ext=-71.75379060374526,18.05646495840479,-71.75179060374525,18.054464958404786"), "wayback")</f>
        <v>wayback</v>
      </c>
      <c r="K401" s="2" t="s">
        <v>422</v>
      </c>
      <c r="L401" s="5"/>
      <c r="M401" s="5" t="s">
        <v>422</v>
      </c>
      <c r="N401" s="5"/>
    </row>
    <row r="402" spans="1:14" x14ac:dyDescent="0.35">
      <c r="A402" s="2">
        <v>401</v>
      </c>
      <c r="B402" s="2" t="s">
        <v>428</v>
      </c>
      <c r="C402" s="2" t="s">
        <v>833</v>
      </c>
      <c r="D402" s="2" t="s">
        <v>20</v>
      </c>
      <c r="E402" s="2">
        <v>249</v>
      </c>
      <c r="F402" s="2">
        <v>18.933979090833741</v>
      </c>
      <c r="G402" s="2">
        <v>-72.175336834791821</v>
      </c>
      <c r="H402" s="8" t="str">
        <f>HYPERLINK(CONCATENATE("https://faluhong.users.earthengine.app/view/hispaniola-lc-validation#id=PF401;lat=18.933979090833738;lon=-72.17533683479182;year=2000;bf=40;level=18;"), "landsat_time_series")</f>
        <v>landsat_time_series</v>
      </c>
      <c r="I402" s="8" t="str">
        <f>HYPERLINK(CONCATENATE("https://jstnbraaten.users.earthengine.app/view/landsat-timeseries-explorer#run=true;lon=-72.17533683479182;lat=18.933979090833738;from=01-01;to=12-31;index=NBR;rgb=NIR%2FRED%2FGREEN;chipwidth=1;"), "landsat_chips")</f>
        <v>landsat_chips</v>
      </c>
      <c r="J402" s="8" t="str">
        <f>HYPERLINK(CONCATENATE("https://livingatlas.arcgis.com/wayback/#ext=-72.17633683479183,18.93497909083374,-72.17433683479182,18.932979090833737"), "wayback")</f>
        <v>wayback</v>
      </c>
      <c r="K402" s="2" t="s">
        <v>422</v>
      </c>
      <c r="L402" s="5"/>
      <c r="M402" s="5" t="s">
        <v>422</v>
      </c>
      <c r="N402" s="5"/>
    </row>
    <row r="403" spans="1:14" x14ac:dyDescent="0.35">
      <c r="A403" s="2">
        <v>402</v>
      </c>
      <c r="B403" s="2" t="s">
        <v>428</v>
      </c>
      <c r="C403" s="2" t="s">
        <v>834</v>
      </c>
      <c r="D403" s="2" t="s">
        <v>20</v>
      </c>
      <c r="E403" s="2">
        <v>68</v>
      </c>
      <c r="F403" s="2">
        <v>18.44601938666511</v>
      </c>
      <c r="G403" s="2">
        <v>-73.076359356599141</v>
      </c>
      <c r="H403" s="8" t="str">
        <f>HYPERLINK(CONCATENATE("https://faluhong.users.earthengine.app/view/hispaniola-lc-validation#id=PF402;lat=18.44601938666511;lon=-73.07635935659914;year=2000;bf=40;level=18;"), "landsat_time_series")</f>
        <v>landsat_time_series</v>
      </c>
      <c r="I403" s="8" t="str">
        <f>HYPERLINK(CONCATENATE("https://jstnbraaten.users.earthengine.app/view/landsat-timeseries-explorer#run=true;lon=-73.07635935659914;lat=18.44601938666511;from=01-01;to=12-31;index=NBR;rgb=NIR%2FRED%2FGREEN;chipwidth=1;"), "landsat_chips")</f>
        <v>landsat_chips</v>
      </c>
      <c r="J403" s="8" t="str">
        <f>HYPERLINK(CONCATENATE("https://livingatlas.arcgis.com/wayback/#ext=-73.07735935659915,18.44701938666511,-73.07535935659914,18.44501938666511"), "wayback")</f>
        <v>wayback</v>
      </c>
      <c r="K403" s="2" t="s">
        <v>422</v>
      </c>
      <c r="L403" s="5"/>
      <c r="M403" s="5" t="s">
        <v>422</v>
      </c>
      <c r="N403" s="5"/>
    </row>
    <row r="404" spans="1:14" x14ac:dyDescent="0.35">
      <c r="A404" s="2">
        <v>403</v>
      </c>
      <c r="B404" s="2" t="s">
        <v>428</v>
      </c>
      <c r="C404" s="2" t="s">
        <v>835</v>
      </c>
      <c r="D404" s="2" t="s">
        <v>10</v>
      </c>
      <c r="E404" s="2">
        <v>201</v>
      </c>
      <c r="F404" s="2">
        <v>18.889211834926819</v>
      </c>
      <c r="G404" s="2">
        <v>-69.646659497691871</v>
      </c>
      <c r="H404" s="8" t="str">
        <f>HYPERLINK(CONCATENATE("https://faluhong.users.earthengine.app/view/hispaniola-lc-validation#id=PF403;lat=18.889211834926822;lon=-69.64665949769187;year=2000;bf=40;level=18;"), "landsat_time_series")</f>
        <v>landsat_time_series</v>
      </c>
      <c r="I404" s="8" t="str">
        <f>HYPERLINK(CONCATENATE("https://jstnbraaten.users.earthengine.app/view/landsat-timeseries-explorer#run=true;lon=-69.64665949769187;lat=18.889211834926822;from=01-01;to=12-31;index=NBR;rgb=NIR%2FRED%2FGREEN;chipwidth=1;"), "landsat_chips")</f>
        <v>landsat_chips</v>
      </c>
      <c r="J404" s="8" t="str">
        <f>HYPERLINK(CONCATENATE("https://livingatlas.arcgis.com/wayback/#ext=-69.64765949769188,18.890211834926824,-69.64565949769187,18.88821183492682"), "wayback")</f>
        <v>wayback</v>
      </c>
      <c r="K404" s="2" t="s">
        <v>422</v>
      </c>
      <c r="L404" s="5"/>
      <c r="M404" s="5" t="s">
        <v>422</v>
      </c>
      <c r="N404" s="5"/>
    </row>
    <row r="405" spans="1:14" x14ac:dyDescent="0.35">
      <c r="A405" s="2">
        <v>404</v>
      </c>
      <c r="B405" s="2" t="s">
        <v>428</v>
      </c>
      <c r="C405" s="2" t="s">
        <v>836</v>
      </c>
      <c r="D405" s="2" t="s">
        <v>10</v>
      </c>
      <c r="E405" s="2">
        <v>2071</v>
      </c>
      <c r="F405" s="2">
        <v>19.069445598602691</v>
      </c>
      <c r="G405" s="2">
        <v>-70.970379292177313</v>
      </c>
      <c r="H405" s="8" t="str">
        <f>HYPERLINK(CONCATENATE("https://faluhong.users.earthengine.app/view/hispaniola-lc-validation#id=PF404;lat=19.06944559860269;lon=-70.97037929217731;year=2000;bf=40;level=18;"), "landsat_time_series")</f>
        <v>landsat_time_series</v>
      </c>
      <c r="I405" s="8" t="str">
        <f>HYPERLINK(CONCATENATE("https://jstnbraaten.users.earthengine.app/view/landsat-timeseries-explorer#run=true;lon=-70.97037929217731;lat=19.06944559860269;from=01-01;to=12-31;index=NBR;rgb=NIR%2FRED%2FGREEN;chipwidth=1;"), "landsat_chips")</f>
        <v>landsat_chips</v>
      </c>
      <c r="J405" s="8" t="str">
        <f>HYPERLINK(CONCATENATE("https://livingatlas.arcgis.com/wayback/#ext=-70.97137929217732,19.070445598602692,-70.96937929217731,19.06844559860269"), "wayback")</f>
        <v>wayback</v>
      </c>
      <c r="K405" s="2" t="s">
        <v>422</v>
      </c>
      <c r="L405" s="5"/>
      <c r="M405" s="5" t="s">
        <v>418</v>
      </c>
      <c r="N405" s="5" t="s">
        <v>419</v>
      </c>
    </row>
    <row r="406" spans="1:14" x14ac:dyDescent="0.35">
      <c r="A406" s="2">
        <v>405</v>
      </c>
      <c r="B406" s="2" t="s">
        <v>428</v>
      </c>
      <c r="C406" s="2" t="s">
        <v>837</v>
      </c>
      <c r="D406" s="2" t="s">
        <v>10</v>
      </c>
      <c r="E406" s="2">
        <v>66</v>
      </c>
      <c r="F406" s="2">
        <v>19.239819265267371</v>
      </c>
      <c r="G406" s="2">
        <v>-70.223219480871137</v>
      </c>
      <c r="H406" s="8" t="str">
        <f>HYPERLINK(CONCATENATE("https://faluhong.users.earthengine.app/view/hispaniola-lc-validation#id=PF405;lat=19.239819265267375;lon=-70.22321948087114;year=2000;bf=40;level=18;"), "landsat_time_series")</f>
        <v>landsat_time_series</v>
      </c>
      <c r="I406" s="8" t="str">
        <f>HYPERLINK(CONCATENATE("https://jstnbraaten.users.earthengine.app/view/landsat-timeseries-explorer#run=true;lon=-70.22321948087114;lat=19.239819265267375;from=01-01;to=12-31;index=NBR;rgb=NIR%2FRED%2FGREEN;chipwidth=1;"), "landsat_chips")</f>
        <v>landsat_chips</v>
      </c>
      <c r="J406" s="8" t="str">
        <f>HYPERLINK(CONCATENATE("https://livingatlas.arcgis.com/wayback/#ext=-70.22421948087114,19.240819265267376,-70.22221948087113,19.238819265267374"), "wayback")</f>
        <v>wayback</v>
      </c>
      <c r="K406" s="2" t="s">
        <v>422</v>
      </c>
      <c r="L406" s="5"/>
      <c r="M406" s="5" t="s">
        <v>422</v>
      </c>
      <c r="N406" s="5"/>
    </row>
    <row r="407" spans="1:14" x14ac:dyDescent="0.35">
      <c r="A407" s="2">
        <v>406</v>
      </c>
      <c r="B407" s="2" t="s">
        <v>428</v>
      </c>
      <c r="C407" s="2" t="s">
        <v>838</v>
      </c>
      <c r="D407" s="2" t="s">
        <v>10</v>
      </c>
      <c r="E407" s="2">
        <v>100</v>
      </c>
      <c r="F407" s="2">
        <v>18.62614348233631</v>
      </c>
      <c r="G407" s="2">
        <v>-68.954871090289956</v>
      </c>
      <c r="H407" s="8" t="str">
        <f>HYPERLINK(CONCATENATE("https://faluhong.users.earthengine.app/view/hispaniola-lc-validation#id=PF406;lat=18.62614348233631;lon=-68.95487109028996;year=2000;bf=40;level=18;"), "landsat_time_series")</f>
        <v>landsat_time_series</v>
      </c>
      <c r="I407" s="8" t="str">
        <f>HYPERLINK(CONCATENATE("https://jstnbraaten.users.earthengine.app/view/landsat-timeseries-explorer#run=true;lon=-68.95487109028996;lat=18.62614348233631;from=01-01;to=12-31;index=NBR;rgb=NIR%2FRED%2FGREEN;chipwidth=1;"), "landsat_chips")</f>
        <v>landsat_chips</v>
      </c>
      <c r="J407" s="8" t="str">
        <f>HYPERLINK(CONCATENATE("https://livingatlas.arcgis.com/wayback/#ext=-68.95587109028996,18.62714348233631,-68.95387109028995,18.62514348233631"), "wayback")</f>
        <v>wayback</v>
      </c>
      <c r="K407" s="2" t="s">
        <v>422</v>
      </c>
      <c r="L407" s="5"/>
      <c r="M407" s="5" t="s">
        <v>422</v>
      </c>
      <c r="N407" s="5"/>
    </row>
    <row r="408" spans="1:14" x14ac:dyDescent="0.35">
      <c r="A408" s="2">
        <v>407</v>
      </c>
      <c r="B408" s="2" t="s">
        <v>428</v>
      </c>
      <c r="C408" s="2" t="s">
        <v>839</v>
      </c>
      <c r="D408" s="2" t="s">
        <v>10</v>
      </c>
      <c r="E408" s="2">
        <v>251</v>
      </c>
      <c r="F408" s="2">
        <v>18.52469569070734</v>
      </c>
      <c r="G408" s="2">
        <v>-71.142767154124826</v>
      </c>
      <c r="H408" s="8" t="str">
        <f>HYPERLINK(CONCATENATE("https://faluhong.users.earthengine.app/view/hispaniola-lc-validation#id=PF407;lat=18.524695690707336;lon=-71.14276715412483;year=2000;bf=40;level=18;"), "landsat_time_series")</f>
        <v>landsat_time_series</v>
      </c>
      <c r="I408" s="8" t="str">
        <f>HYPERLINK(CONCATENATE("https://jstnbraaten.users.earthengine.app/view/landsat-timeseries-explorer#run=true;lon=-71.14276715412483;lat=18.524695690707336;from=01-01;to=12-31;index=NBR;rgb=NIR%2FRED%2FGREEN;chipwidth=1;"), "landsat_chips")</f>
        <v>landsat_chips</v>
      </c>
      <c r="J408" s="8" t="str">
        <f>HYPERLINK(CONCATENATE("https://livingatlas.arcgis.com/wayback/#ext=-71.14376715412483,18.525695690707337,-71.14176715412482,18.523695690707335"), "wayback")</f>
        <v>wayback</v>
      </c>
      <c r="K408" s="2" t="s">
        <v>422</v>
      </c>
      <c r="L408" s="5"/>
      <c r="M408" s="5" t="s">
        <v>422</v>
      </c>
      <c r="N408" s="5"/>
    </row>
    <row r="409" spans="1:14" x14ac:dyDescent="0.35">
      <c r="A409" s="2">
        <v>408</v>
      </c>
      <c r="B409" s="2" t="s">
        <v>428</v>
      </c>
      <c r="C409" s="2" t="s">
        <v>840</v>
      </c>
      <c r="D409" s="2" t="s">
        <v>10</v>
      </c>
      <c r="E409" s="2">
        <v>13</v>
      </c>
      <c r="F409" s="2">
        <v>18.266059442987679</v>
      </c>
      <c r="G409" s="2">
        <v>-68.771096019660362</v>
      </c>
      <c r="H409" s="8" t="str">
        <f>HYPERLINK(CONCATENATE("https://faluhong.users.earthengine.app/view/hispaniola-lc-validation#id=PF408;lat=18.266059442987675;lon=-68.77109601966036;year=2000;bf=40;level=18;"), "landsat_time_series")</f>
        <v>landsat_time_series</v>
      </c>
      <c r="I409" s="8" t="str">
        <f>HYPERLINK(CONCATENATE("https://jstnbraaten.users.earthengine.app/view/landsat-timeseries-explorer#run=true;lon=-68.77109601966036;lat=18.266059442987675;from=01-01;to=12-31;index=NBR;rgb=NIR%2FRED%2FGREEN;chipwidth=1;"), "landsat_chips")</f>
        <v>landsat_chips</v>
      </c>
      <c r="J409" s="8" t="str">
        <f>HYPERLINK(CONCATENATE("https://livingatlas.arcgis.com/wayback/#ext=-68.77209601966037,18.267059442987676,-68.77009601966036,18.265059442987674"), "wayback")</f>
        <v>wayback</v>
      </c>
      <c r="K409" s="2" t="s">
        <v>422</v>
      </c>
      <c r="L409" s="5"/>
      <c r="M409" s="5" t="s">
        <v>422</v>
      </c>
      <c r="N409" s="5"/>
    </row>
    <row r="410" spans="1:14" x14ac:dyDescent="0.35">
      <c r="A410" s="2">
        <v>409</v>
      </c>
      <c r="B410" s="2" t="s">
        <v>428</v>
      </c>
      <c r="C410" s="2" t="s">
        <v>841</v>
      </c>
      <c r="D410" s="2" t="s">
        <v>10</v>
      </c>
      <c r="E410" s="2">
        <v>1128</v>
      </c>
      <c r="F410" s="2">
        <v>18.64864720620886</v>
      </c>
      <c r="G410" s="2">
        <v>-70.423322521120127</v>
      </c>
      <c r="H410" s="8" t="str">
        <f>HYPERLINK(CONCATENATE("https://faluhong.users.earthengine.app/view/hispaniola-lc-validation#id=PF409;lat=18.648647206208864;lon=-70.42332252112013;year=2000;bf=40;level=18;"), "landsat_time_series")</f>
        <v>landsat_time_series</v>
      </c>
      <c r="I410" s="8" t="str">
        <f>HYPERLINK(CONCATENATE("https://jstnbraaten.users.earthengine.app/view/landsat-timeseries-explorer#run=true;lon=-70.42332252112013;lat=18.648647206208864;from=01-01;to=12-31;index=NBR;rgb=NIR%2FRED%2FGREEN;chipwidth=1;"), "landsat_chips")</f>
        <v>landsat_chips</v>
      </c>
      <c r="J410" s="8" t="str">
        <f>HYPERLINK(CONCATENATE("https://livingatlas.arcgis.com/wayback/#ext=-70.42432252112013,18.649647206208865,-70.42232252112012,18.647647206208863"), "wayback")</f>
        <v>wayback</v>
      </c>
      <c r="K410" s="2" t="s">
        <v>422</v>
      </c>
      <c r="L410" s="5"/>
      <c r="M410" s="5" t="s">
        <v>422</v>
      </c>
      <c r="N410" s="5"/>
    </row>
    <row r="411" spans="1:14" x14ac:dyDescent="0.35">
      <c r="A411" s="2">
        <v>410</v>
      </c>
      <c r="B411" s="2" t="s">
        <v>428</v>
      </c>
      <c r="C411" s="2" t="s">
        <v>842</v>
      </c>
      <c r="D411" s="2" t="s">
        <v>20</v>
      </c>
      <c r="E411" s="2">
        <v>41</v>
      </c>
      <c r="F411" s="2">
        <v>19.92879229153613</v>
      </c>
      <c r="G411" s="2">
        <v>-72.926012856762256</v>
      </c>
      <c r="H411" s="8" t="str">
        <f>HYPERLINK(CONCATENATE("https://faluhong.users.earthengine.app/view/hispaniola-lc-validation#id=PF410;lat=19.928792291536134;lon=-72.92601285676226;year=2000;bf=40;level=18;"), "landsat_time_series")</f>
        <v>landsat_time_series</v>
      </c>
      <c r="I411" s="8" t="str">
        <f>HYPERLINK(CONCATENATE("https://jstnbraaten.users.earthengine.app/view/landsat-timeseries-explorer#run=true;lon=-72.92601285676226;lat=19.928792291536134;from=01-01;to=12-31;index=NBR;rgb=NIR%2FRED%2FGREEN;chipwidth=1;"), "landsat_chips")</f>
        <v>landsat_chips</v>
      </c>
      <c r="J411" s="8" t="str">
        <f>HYPERLINK(CONCATENATE("https://livingatlas.arcgis.com/wayback/#ext=-72.92701285676226,19.929792291536135,-72.92501285676225,19.927792291536132"), "wayback")</f>
        <v>wayback</v>
      </c>
      <c r="K411" s="2" t="s">
        <v>422</v>
      </c>
      <c r="L411" s="5"/>
      <c r="M411" s="5" t="s">
        <v>422</v>
      </c>
      <c r="N411" s="5"/>
    </row>
    <row r="412" spans="1:14" x14ac:dyDescent="0.35">
      <c r="A412" s="2">
        <v>411</v>
      </c>
      <c r="B412" s="2" t="s">
        <v>428</v>
      </c>
      <c r="C412" s="2" t="s">
        <v>843</v>
      </c>
      <c r="D412" s="2" t="s">
        <v>10</v>
      </c>
      <c r="E412" s="2">
        <v>53</v>
      </c>
      <c r="F412" s="2">
        <v>18.803910823717189</v>
      </c>
      <c r="G412" s="2">
        <v>-69.788304452409633</v>
      </c>
      <c r="H412" s="8" t="str">
        <f>HYPERLINK(CONCATENATE("https://faluhong.users.earthengine.app/view/hispaniola-lc-validation#id=PF411;lat=18.803910823717192;lon=-69.78830445240963;year=2000;bf=40;level=18;"), "landsat_time_series")</f>
        <v>landsat_time_series</v>
      </c>
      <c r="I412" s="8" t="str">
        <f>HYPERLINK(CONCATENATE("https://jstnbraaten.users.earthengine.app/view/landsat-timeseries-explorer#run=true;lon=-69.78830445240963;lat=18.803910823717192;from=01-01;to=12-31;index=NBR;rgb=NIR%2FRED%2FGREEN;chipwidth=1;"), "landsat_chips")</f>
        <v>landsat_chips</v>
      </c>
      <c r="J412" s="8" t="str">
        <f>HYPERLINK(CONCATENATE("https://livingatlas.arcgis.com/wayback/#ext=-69.78930445240964,18.804910823717194,-69.78730445240963,18.80291082371719"), "wayback")</f>
        <v>wayback</v>
      </c>
      <c r="K412" s="2" t="s">
        <v>422</v>
      </c>
      <c r="L412" s="5"/>
      <c r="M412" s="5" t="s">
        <v>422</v>
      </c>
      <c r="N412" s="5"/>
    </row>
    <row r="413" spans="1:14" x14ac:dyDescent="0.35">
      <c r="A413" s="2">
        <v>412</v>
      </c>
      <c r="B413" s="2" t="s">
        <v>428</v>
      </c>
      <c r="C413" s="2" t="s">
        <v>844</v>
      </c>
      <c r="D413" s="2" t="s">
        <v>10</v>
      </c>
      <c r="E413" s="2">
        <v>1253</v>
      </c>
      <c r="F413" s="2">
        <v>18.737364321977999</v>
      </c>
      <c r="G413" s="2">
        <v>-71.681126925581907</v>
      </c>
      <c r="H413" s="8" t="str">
        <f>HYPERLINK(CONCATENATE("https://faluhong.users.earthengine.app/view/hispaniola-lc-validation#id=PF412;lat=18.737364321978;lon=-71.6811269255819;year=2000;bf=40;level=18;"), "landsat_time_series")</f>
        <v>landsat_time_series</v>
      </c>
      <c r="I413" s="8" t="str">
        <f>HYPERLINK(CONCATENATE("https://jstnbraaten.users.earthengine.app/view/landsat-timeseries-explorer#run=true;lon=-71.6811269255819;lat=18.737364321978;from=01-01;to=12-31;index=NBR;rgb=NIR%2FRED%2FGREEN;chipwidth=1;"), "landsat_chips")</f>
        <v>landsat_chips</v>
      </c>
      <c r="J413" s="8" t="str">
        <f>HYPERLINK(CONCATENATE("https://livingatlas.arcgis.com/wayback/#ext=-71.68212692558191,18.738364321978,-71.6801269255819,18.736364321977998"), "wayback")</f>
        <v>wayback</v>
      </c>
      <c r="K413" s="2" t="s">
        <v>422</v>
      </c>
      <c r="L413" s="5"/>
      <c r="M413" s="5" t="s">
        <v>422</v>
      </c>
      <c r="N413" s="5"/>
    </row>
    <row r="414" spans="1:14" x14ac:dyDescent="0.35">
      <c r="A414" s="2">
        <v>413</v>
      </c>
      <c r="B414" s="2" t="s">
        <v>428</v>
      </c>
      <c r="C414" s="2" t="s">
        <v>845</v>
      </c>
      <c r="D414" s="2" t="s">
        <v>20</v>
      </c>
      <c r="E414" s="2">
        <v>356</v>
      </c>
      <c r="F414" s="2">
        <v>19.381428287793561</v>
      </c>
      <c r="G414" s="2">
        <v>-72.15284696897406</v>
      </c>
      <c r="H414" s="8" t="str">
        <f>HYPERLINK(CONCATENATE("https://faluhong.users.earthengine.app/view/hispaniola-lc-validation#id=PF413;lat=19.38142828779356;lon=-72.15284696897406;year=2000;bf=40;level=18;"), "landsat_time_series")</f>
        <v>landsat_time_series</v>
      </c>
      <c r="I414" s="8" t="str">
        <f>HYPERLINK(CONCATENATE("https://jstnbraaten.users.earthengine.app/view/landsat-timeseries-explorer#run=true;lon=-72.15284696897406;lat=19.38142828779356;from=01-01;to=12-31;index=NBR;rgb=NIR%2FRED%2FGREEN;chipwidth=1;"), "landsat_chips")</f>
        <v>landsat_chips</v>
      </c>
      <c r="J414" s="8" t="str">
        <f>HYPERLINK(CONCATENATE("https://livingatlas.arcgis.com/wayback/#ext=-72.15384696897407,19.382428287793562,-72.15184696897406,19.38042828779356"), "wayback")</f>
        <v>wayback</v>
      </c>
      <c r="K414" s="2" t="s">
        <v>422</v>
      </c>
      <c r="L414" s="5"/>
      <c r="M414" s="5" t="s">
        <v>422</v>
      </c>
      <c r="N414" s="5"/>
    </row>
    <row r="415" spans="1:14" x14ac:dyDescent="0.35">
      <c r="A415" s="2">
        <v>414</v>
      </c>
      <c r="B415" s="2" t="s">
        <v>428</v>
      </c>
      <c r="C415" s="2" t="s">
        <v>846</v>
      </c>
      <c r="D415" s="2" t="s">
        <v>10</v>
      </c>
      <c r="E415" s="2">
        <v>1611</v>
      </c>
      <c r="F415" s="2">
        <v>18.151486272572729</v>
      </c>
      <c r="G415" s="2">
        <v>-71.585563812899849</v>
      </c>
      <c r="H415" s="8" t="str">
        <f>HYPERLINK(CONCATENATE("https://faluhong.users.earthengine.app/view/hispaniola-lc-validation#id=PF414;lat=18.151486272572733;lon=-71.58556381289985;year=2000;bf=40;level=18;"), "landsat_time_series")</f>
        <v>landsat_time_series</v>
      </c>
      <c r="I415" s="8" t="str">
        <f>HYPERLINK(CONCATENATE("https://jstnbraaten.users.earthengine.app/view/landsat-timeseries-explorer#run=true;lon=-71.58556381289985;lat=18.151486272572733;from=01-01;to=12-31;index=NBR;rgb=NIR%2FRED%2FGREEN;chipwidth=1;"), "landsat_chips")</f>
        <v>landsat_chips</v>
      </c>
      <c r="J415" s="8" t="str">
        <f>HYPERLINK(CONCATENATE("https://livingatlas.arcgis.com/wayback/#ext=-71.58656381289985,18.152486272572734,-71.58456381289984,18.15048627257273"), "wayback")</f>
        <v>wayback</v>
      </c>
      <c r="K415" s="2" t="s">
        <v>418</v>
      </c>
      <c r="L415" s="5"/>
      <c r="M415" s="5" t="s">
        <v>422</v>
      </c>
      <c r="N415" s="5"/>
    </row>
    <row r="416" spans="1:14" x14ac:dyDescent="0.35">
      <c r="A416" s="2">
        <v>415</v>
      </c>
      <c r="B416" s="2" t="s">
        <v>428</v>
      </c>
      <c r="C416" s="2" t="s">
        <v>847</v>
      </c>
      <c r="D416" s="2" t="s">
        <v>10</v>
      </c>
      <c r="E416" s="2">
        <v>1829</v>
      </c>
      <c r="F416" s="2">
        <v>18.241077929929169</v>
      </c>
      <c r="G416" s="2">
        <v>-71.687514435741562</v>
      </c>
      <c r="H416" s="8" t="str">
        <f>HYPERLINK(CONCATENATE("https://faluhong.users.earthengine.app/view/hispaniola-lc-validation#id=PF415;lat=18.241077929929173;lon=-71.68751443574156;year=2000;bf=40;level=18;"), "landsat_time_series")</f>
        <v>landsat_time_series</v>
      </c>
      <c r="I416" s="8" t="str">
        <f>HYPERLINK(CONCATENATE("https://jstnbraaten.users.earthengine.app/view/landsat-timeseries-explorer#run=true;lon=-71.68751443574156;lat=18.241077929929173;from=01-01;to=12-31;index=NBR;rgb=NIR%2FRED%2FGREEN;chipwidth=1;"), "landsat_chips")</f>
        <v>landsat_chips</v>
      </c>
      <c r="J416" s="8" t="str">
        <f>HYPERLINK(CONCATENATE("https://livingatlas.arcgis.com/wayback/#ext=-71.68851443574157,18.242077929929174,-71.68651443574156,18.24007792992917"), "wayback")</f>
        <v>wayback</v>
      </c>
      <c r="K416" s="2" t="s">
        <v>418</v>
      </c>
      <c r="L416" s="5"/>
      <c r="M416" s="5" t="s">
        <v>422</v>
      </c>
      <c r="N416" s="5"/>
    </row>
    <row r="417" spans="1:14" x14ac:dyDescent="0.35">
      <c r="A417" s="2">
        <v>416</v>
      </c>
      <c r="B417" s="2" t="s">
        <v>428</v>
      </c>
      <c r="C417" s="2" t="s">
        <v>848</v>
      </c>
      <c r="D417" s="2" t="s">
        <v>10</v>
      </c>
      <c r="E417" s="2">
        <v>1450</v>
      </c>
      <c r="F417" s="2">
        <v>18.914109265509609</v>
      </c>
      <c r="G417" s="2">
        <v>-70.567524209150164</v>
      </c>
      <c r="H417" s="8" t="str">
        <f>HYPERLINK(CONCATENATE("https://faluhong.users.earthengine.app/view/hispaniola-lc-validation#id=PF416;lat=18.914109265509612;lon=-70.56752420915016;year=2000;bf=40;level=18;"), "landsat_time_series")</f>
        <v>landsat_time_series</v>
      </c>
      <c r="I417" s="8" t="str">
        <f>HYPERLINK(CONCATENATE("https://jstnbraaten.users.earthengine.app/view/landsat-timeseries-explorer#run=true;lon=-70.56752420915016;lat=18.914109265509612;from=01-01;to=12-31;index=NBR;rgb=NIR%2FRED%2FGREEN;chipwidth=1;"), "landsat_chips")</f>
        <v>landsat_chips</v>
      </c>
      <c r="J417" s="8" t="str">
        <f>HYPERLINK(CONCATENATE("https://livingatlas.arcgis.com/wayback/#ext=-70.56852420915017,18.915109265509614,-70.56652420915016,18.91310926550961"), "wayback")</f>
        <v>wayback</v>
      </c>
      <c r="K417" s="2" t="s">
        <v>422</v>
      </c>
      <c r="L417" s="5"/>
      <c r="M417" s="5" t="s">
        <v>422</v>
      </c>
      <c r="N417" s="5"/>
    </row>
    <row r="418" spans="1:14" x14ac:dyDescent="0.35">
      <c r="A418" s="2">
        <v>417</v>
      </c>
      <c r="B418" s="2" t="s">
        <v>428</v>
      </c>
      <c r="C418" s="2" t="s">
        <v>849</v>
      </c>
      <c r="D418" s="2" t="s">
        <v>10</v>
      </c>
      <c r="E418" s="2">
        <v>139</v>
      </c>
      <c r="F418" s="2">
        <v>19.72977932595084</v>
      </c>
      <c r="G418" s="2">
        <v>-71.274740686964975</v>
      </c>
      <c r="H418" s="8" t="str">
        <f>HYPERLINK(CONCATENATE("https://faluhong.users.earthengine.app/view/hispaniola-lc-validation#id=PF417;lat=19.729779325950844;lon=-71.27474068696498;year=2000;bf=40;level=18;"), "landsat_time_series")</f>
        <v>landsat_time_series</v>
      </c>
      <c r="I418" s="8" t="str">
        <f>HYPERLINK(CONCATENATE("https://jstnbraaten.users.earthengine.app/view/landsat-timeseries-explorer#run=true;lon=-71.27474068696498;lat=19.729779325950844;from=01-01;to=12-31;index=NBR;rgb=NIR%2FRED%2FGREEN;chipwidth=1;"), "landsat_chips")</f>
        <v>landsat_chips</v>
      </c>
      <c r="J418" s="8" t="str">
        <f>HYPERLINK(CONCATENATE("https://livingatlas.arcgis.com/wayback/#ext=-71.27574068696498,19.730779325950845,-71.27374068696497,19.728779325950843"), "wayback")</f>
        <v>wayback</v>
      </c>
      <c r="K418" s="2" t="s">
        <v>422</v>
      </c>
      <c r="L418" s="5"/>
      <c r="M418" s="5" t="s">
        <v>422</v>
      </c>
      <c r="N418" s="5"/>
    </row>
    <row r="419" spans="1:14" x14ac:dyDescent="0.35">
      <c r="A419" s="2">
        <v>418</v>
      </c>
      <c r="B419" s="2" t="s">
        <v>428</v>
      </c>
      <c r="C419" s="2" t="s">
        <v>850</v>
      </c>
      <c r="D419" s="2" t="s">
        <v>10</v>
      </c>
      <c r="E419" s="2">
        <v>1812</v>
      </c>
      <c r="F419" s="2">
        <v>18.235906872591048</v>
      </c>
      <c r="G419" s="2">
        <v>-71.579024726309399</v>
      </c>
      <c r="H419" s="8" t="str">
        <f>HYPERLINK(CONCATENATE("https://faluhong.users.earthengine.app/view/hispaniola-lc-validation#id=PF418;lat=18.235906872591052;lon=-71.5790247263094;year=2000;bf=40;level=18;"), "landsat_time_series")</f>
        <v>landsat_time_series</v>
      </c>
      <c r="I419" s="8" t="str">
        <f>HYPERLINK(CONCATENATE("https://jstnbraaten.users.earthengine.app/view/landsat-timeseries-explorer#run=true;lon=-71.5790247263094;lat=18.235906872591052;from=01-01;to=12-31;index=NBR;rgb=NIR%2FRED%2FGREEN;chipwidth=1;"), "landsat_chips")</f>
        <v>landsat_chips</v>
      </c>
      <c r="J419" s="8" t="str">
        <f>HYPERLINK(CONCATENATE("https://livingatlas.arcgis.com/wayback/#ext=-71.5800247263094,18.236906872591053,-71.5780247263094,18.23490687259105"), "wayback")</f>
        <v>wayback</v>
      </c>
      <c r="K419" s="2" t="s">
        <v>418</v>
      </c>
      <c r="L419" s="5"/>
      <c r="M419" s="5" t="s">
        <v>418</v>
      </c>
      <c r="N419" s="5" t="s">
        <v>419</v>
      </c>
    </row>
    <row r="420" spans="1:14" x14ac:dyDescent="0.35">
      <c r="A420" s="2">
        <v>419</v>
      </c>
      <c r="B420" s="2" t="s">
        <v>428</v>
      </c>
      <c r="C420" s="2" t="s">
        <v>851</v>
      </c>
      <c r="D420" s="2" t="s">
        <v>10</v>
      </c>
      <c r="E420" s="2">
        <v>1953</v>
      </c>
      <c r="F420" s="2">
        <v>18.92867870418798</v>
      </c>
      <c r="G420" s="2">
        <v>-71.067370968720169</v>
      </c>
      <c r="H420" s="8" t="str">
        <f>HYPERLINK(CONCATENATE("https://faluhong.users.earthengine.app/view/hispaniola-lc-validation#id=PF419;lat=18.928678704187984;lon=-71.06737096872017;year=2000;bf=40;level=18;"), "landsat_time_series")</f>
        <v>landsat_time_series</v>
      </c>
      <c r="I420" s="8" t="str">
        <f>HYPERLINK(CONCATENATE("https://jstnbraaten.users.earthengine.app/view/landsat-timeseries-explorer#run=true;lon=-71.06737096872017;lat=18.928678704187984;from=01-01;to=12-31;index=NBR;rgb=NIR%2FRED%2FGREEN;chipwidth=1;"), "landsat_chips")</f>
        <v>landsat_chips</v>
      </c>
      <c r="J420" s="8" t="str">
        <f>HYPERLINK(CONCATENATE("https://livingatlas.arcgis.com/wayback/#ext=-71.06837096872017,18.929678704187985,-71.06637096872016,18.927678704187983"), "wayback")</f>
        <v>wayback</v>
      </c>
      <c r="K420" s="2" t="s">
        <v>418</v>
      </c>
      <c r="L420" s="5"/>
      <c r="M420" s="5" t="s">
        <v>418</v>
      </c>
      <c r="N420" s="5" t="s">
        <v>419</v>
      </c>
    </row>
    <row r="421" spans="1:14" x14ac:dyDescent="0.35">
      <c r="A421" s="2">
        <v>420</v>
      </c>
      <c r="B421" s="2" t="s">
        <v>428</v>
      </c>
      <c r="C421" s="2" t="s">
        <v>852</v>
      </c>
      <c r="D421" s="2" t="s">
        <v>10</v>
      </c>
      <c r="E421" s="2">
        <v>125</v>
      </c>
      <c r="F421" s="2">
        <v>19.588188119227539</v>
      </c>
      <c r="G421" s="2">
        <v>-70.977267799222631</v>
      </c>
      <c r="H421" s="8" t="str">
        <f>HYPERLINK(CONCATENATE("https://faluhong.users.earthengine.app/view/hispaniola-lc-validation#id=PF420;lat=19.588188119227535;lon=-70.97726779922263;year=2000;bf=40;level=18;"), "landsat_time_series")</f>
        <v>landsat_time_series</v>
      </c>
      <c r="I421" s="8" t="str">
        <f>HYPERLINK(CONCATENATE("https://jstnbraaten.users.earthengine.app/view/landsat-timeseries-explorer#run=true;lon=-70.97726779922263;lat=19.588188119227535;from=01-01;to=12-31;index=NBR;rgb=NIR%2FRED%2FGREEN;chipwidth=1;"), "landsat_chips")</f>
        <v>landsat_chips</v>
      </c>
      <c r="J421" s="8" t="str">
        <f>HYPERLINK(CONCATENATE("https://livingatlas.arcgis.com/wayback/#ext=-70.97826779922264,19.589188119227536,-70.97626779922263,19.587188119227534"), "wayback")</f>
        <v>wayback</v>
      </c>
      <c r="K421" s="2" t="s">
        <v>422</v>
      </c>
      <c r="L421" s="5"/>
      <c r="M421" s="5" t="s">
        <v>422</v>
      </c>
      <c r="N421" s="5"/>
    </row>
    <row r="422" spans="1:14" x14ac:dyDescent="0.35">
      <c r="A422" s="2">
        <v>421</v>
      </c>
      <c r="B422" s="2" t="s">
        <v>428</v>
      </c>
      <c r="C422" s="2" t="s">
        <v>853</v>
      </c>
      <c r="D422" s="2" t="s">
        <v>10</v>
      </c>
      <c r="E422" s="2">
        <v>1753</v>
      </c>
      <c r="F422" s="2">
        <v>18.942175555341318</v>
      </c>
      <c r="G422" s="2">
        <v>-70.928242771368488</v>
      </c>
      <c r="H422" s="8" t="str">
        <f>HYPERLINK(CONCATENATE("https://faluhong.users.earthengine.app/view/hispaniola-lc-validation#id=PF421;lat=18.942175555341322;lon=-70.92824277136849;year=2000;bf=40;level=18;"), "landsat_time_series")</f>
        <v>landsat_time_series</v>
      </c>
      <c r="I422" s="8" t="str">
        <f>HYPERLINK(CONCATENATE("https://jstnbraaten.users.earthengine.app/view/landsat-timeseries-explorer#run=true;lon=-70.92824277136849;lat=18.942175555341322;from=01-01;to=12-31;index=NBR;rgb=NIR%2FRED%2FGREEN;chipwidth=1;"), "landsat_chips")</f>
        <v>landsat_chips</v>
      </c>
      <c r="J422" s="8" t="str">
        <f>HYPERLINK(CONCATENATE("https://livingatlas.arcgis.com/wayback/#ext=-70.9292427713685,18.943175555341323,-70.92724277136848,18.94117555534132"), "wayback")</f>
        <v>wayback</v>
      </c>
      <c r="K422" s="2" t="s">
        <v>418</v>
      </c>
      <c r="L422" s="5"/>
      <c r="M422" s="5" t="s">
        <v>418</v>
      </c>
      <c r="N422" s="5" t="s">
        <v>419</v>
      </c>
    </row>
    <row r="423" spans="1:14" x14ac:dyDescent="0.35">
      <c r="A423" s="2">
        <v>422</v>
      </c>
      <c r="B423" s="2" t="s">
        <v>428</v>
      </c>
      <c r="C423" s="2" t="s">
        <v>854</v>
      </c>
      <c r="D423" s="2" t="s">
        <v>10</v>
      </c>
      <c r="E423" s="2">
        <v>1527</v>
      </c>
      <c r="F423" s="2">
        <v>19.00397768638301</v>
      </c>
      <c r="G423" s="2">
        <v>-70.787842895701999</v>
      </c>
      <c r="H423" s="8" t="str">
        <f>HYPERLINK(CONCATENATE("https://faluhong.users.earthengine.app/view/hispaniola-lc-validation#id=PF422;lat=19.00397768638301;lon=-70.787842895702;year=2000;bf=40;level=18;"), "landsat_time_series")</f>
        <v>landsat_time_series</v>
      </c>
      <c r="I423" s="8" t="str">
        <f>HYPERLINK(CONCATENATE("https://jstnbraaten.users.earthengine.app/view/landsat-timeseries-explorer#run=true;lon=-70.787842895702;lat=19.00397768638301;from=01-01;to=12-31;index=NBR;rgb=NIR%2FRED%2FGREEN;chipwidth=1;"), "landsat_chips")</f>
        <v>landsat_chips</v>
      </c>
      <c r="J423" s="8" t="str">
        <f>HYPERLINK(CONCATENATE("https://livingatlas.arcgis.com/wayback/#ext=-70.788842895702,19.00497768638301,-70.786842895702,19.00297768638301"), "wayback")</f>
        <v>wayback</v>
      </c>
      <c r="K423" s="2" t="s">
        <v>422</v>
      </c>
      <c r="L423" s="5"/>
      <c r="M423" s="5" t="s">
        <v>422</v>
      </c>
      <c r="N423" s="5"/>
    </row>
    <row r="424" spans="1:14" x14ac:dyDescent="0.35">
      <c r="A424" s="2">
        <v>423</v>
      </c>
      <c r="B424" s="2" t="s">
        <v>428</v>
      </c>
      <c r="C424" s="2" t="s">
        <v>855</v>
      </c>
      <c r="D424" s="2" t="s">
        <v>20</v>
      </c>
      <c r="E424" s="2">
        <v>407</v>
      </c>
      <c r="F424" s="2">
        <v>19.53276530259123</v>
      </c>
      <c r="G424" s="2">
        <v>-72.731942927770618</v>
      </c>
      <c r="H424" s="8" t="str">
        <f>HYPERLINK(CONCATENATE("https://faluhong.users.earthengine.app/view/hispaniola-lc-validation#id=PF423;lat=19.532765302591233;lon=-72.73194292777062;year=2000;bf=40;level=18;"), "landsat_time_series")</f>
        <v>landsat_time_series</v>
      </c>
      <c r="I424" s="8" t="str">
        <f>HYPERLINK(CONCATENATE("https://jstnbraaten.users.earthengine.app/view/landsat-timeseries-explorer#run=true;lon=-72.73194292777062;lat=19.532765302591233;from=01-01;to=12-31;index=NBR;rgb=NIR%2FRED%2FGREEN;chipwidth=1;"), "landsat_chips")</f>
        <v>landsat_chips</v>
      </c>
      <c r="J424" s="8" t="str">
        <f>HYPERLINK(CONCATENATE("https://livingatlas.arcgis.com/wayback/#ext=-72.73294292777062,19.533765302591235,-72.73094292777061,19.531765302591232"), "wayback")</f>
        <v>wayback</v>
      </c>
      <c r="K424" s="2" t="s">
        <v>422</v>
      </c>
      <c r="L424" s="5"/>
      <c r="M424" s="5" t="s">
        <v>422</v>
      </c>
      <c r="N424" s="5"/>
    </row>
    <row r="425" spans="1:14" x14ac:dyDescent="0.35">
      <c r="A425" s="2">
        <v>424</v>
      </c>
      <c r="B425" s="2" t="s">
        <v>428</v>
      </c>
      <c r="C425" s="2" t="s">
        <v>856</v>
      </c>
      <c r="D425" s="2" t="s">
        <v>10</v>
      </c>
      <c r="E425" s="2">
        <v>912</v>
      </c>
      <c r="F425" s="2">
        <v>18.553602220474751</v>
      </c>
      <c r="G425" s="2">
        <v>-70.399708515309769</v>
      </c>
      <c r="H425" s="8" t="str">
        <f>HYPERLINK(CONCATENATE("https://faluhong.users.earthengine.app/view/hispaniola-lc-validation#id=PF424;lat=18.553602220474755;lon=-70.39970851530977;year=2000;bf=40;level=18;"), "landsat_time_series")</f>
        <v>landsat_time_series</v>
      </c>
      <c r="I425" s="8" t="str">
        <f>HYPERLINK(CONCATENATE("https://jstnbraaten.users.earthengine.app/view/landsat-timeseries-explorer#run=true;lon=-70.39970851530977;lat=18.553602220474755;from=01-01;to=12-31;index=NBR;rgb=NIR%2FRED%2FGREEN;chipwidth=1;"), "landsat_chips")</f>
        <v>landsat_chips</v>
      </c>
      <c r="J425" s="8" t="str">
        <f>HYPERLINK(CONCATENATE("https://livingatlas.arcgis.com/wayback/#ext=-70.40070851530977,18.554602220474756,-70.39870851530976,18.552602220474753"), "wayback")</f>
        <v>wayback</v>
      </c>
      <c r="K425" s="2" t="s">
        <v>418</v>
      </c>
      <c r="L425" s="5"/>
      <c r="M425" s="5" t="s">
        <v>418</v>
      </c>
      <c r="N425" s="5" t="s">
        <v>922</v>
      </c>
    </row>
    <row r="426" spans="1:14" x14ac:dyDescent="0.35">
      <c r="A426" s="2">
        <v>425</v>
      </c>
      <c r="B426" s="2" t="s">
        <v>428</v>
      </c>
      <c r="C426" s="2" t="s">
        <v>857</v>
      </c>
      <c r="D426" s="2" t="s">
        <v>20</v>
      </c>
      <c r="E426" s="2">
        <v>8</v>
      </c>
      <c r="F426" s="2">
        <v>18.57950612037396</v>
      </c>
      <c r="G426" s="2">
        <v>-73.924376425575346</v>
      </c>
      <c r="H426" s="8" t="str">
        <f>HYPERLINK(CONCATENATE("https://faluhong.users.earthengine.app/view/hispaniola-lc-validation#id=PF425;lat=18.57950612037396;lon=-73.92437642557535;year=2000;bf=40;level=18;"), "landsat_time_series")</f>
        <v>landsat_time_series</v>
      </c>
      <c r="I426" s="8" t="str">
        <f>HYPERLINK(CONCATENATE("https://jstnbraaten.users.earthengine.app/view/landsat-timeseries-explorer#run=true;lon=-73.92437642557535;lat=18.57950612037396;from=01-01;to=12-31;index=NBR;rgb=NIR%2FRED%2FGREEN;chipwidth=1;"), "landsat_chips")</f>
        <v>landsat_chips</v>
      </c>
      <c r="J426" s="8" t="str">
        <f>HYPERLINK(CONCATENATE("https://livingatlas.arcgis.com/wayback/#ext=-73.92537642557535,18.58050612037396,-73.92337642557534,18.57850612037396"), "wayback")</f>
        <v>wayback</v>
      </c>
      <c r="K426" s="2" t="s">
        <v>422</v>
      </c>
      <c r="L426" s="5"/>
      <c r="M426" s="5" t="s">
        <v>422</v>
      </c>
      <c r="N426" s="5"/>
    </row>
    <row r="427" spans="1:14" x14ac:dyDescent="0.35">
      <c r="A427" s="2">
        <v>426</v>
      </c>
      <c r="B427" s="2" t="s">
        <v>428</v>
      </c>
      <c r="C427" s="2" t="s">
        <v>858</v>
      </c>
      <c r="D427" s="2" t="s">
        <v>20</v>
      </c>
      <c r="E427" s="2">
        <v>301</v>
      </c>
      <c r="F427" s="2">
        <v>19.72097009548941</v>
      </c>
      <c r="G427" s="2">
        <v>-73.185193901756222</v>
      </c>
      <c r="H427" s="8" t="str">
        <f>HYPERLINK(CONCATENATE("https://faluhong.users.earthengine.app/view/hispaniola-lc-validation#id=PF426;lat=19.720970095489413;lon=-73.18519390175622;year=2000;bf=40;level=18;"), "landsat_time_series")</f>
        <v>landsat_time_series</v>
      </c>
      <c r="I427" s="8" t="str">
        <f>HYPERLINK(CONCATENATE("https://jstnbraaten.users.earthengine.app/view/landsat-timeseries-explorer#run=true;lon=-73.18519390175622;lat=19.720970095489413;from=01-01;to=12-31;index=NBR;rgb=NIR%2FRED%2FGREEN;chipwidth=1;"), "landsat_chips")</f>
        <v>landsat_chips</v>
      </c>
      <c r="J427" s="8" t="str">
        <f>HYPERLINK(CONCATENATE("https://livingatlas.arcgis.com/wayback/#ext=-73.18619390175623,19.721970095489414,-73.18419390175622,19.719970095489412"), "wayback")</f>
        <v>wayback</v>
      </c>
      <c r="K427" s="2" t="s">
        <v>422</v>
      </c>
      <c r="L427" s="5"/>
      <c r="M427" s="5" t="s">
        <v>422</v>
      </c>
      <c r="N427" s="5"/>
    </row>
    <row r="428" spans="1:14" x14ac:dyDescent="0.35">
      <c r="A428" s="2">
        <v>427</v>
      </c>
      <c r="B428" s="2" t="s">
        <v>428</v>
      </c>
      <c r="C428" s="2" t="s">
        <v>859</v>
      </c>
      <c r="D428" s="2" t="s">
        <v>20</v>
      </c>
      <c r="E428" s="2">
        <v>489</v>
      </c>
      <c r="F428" s="2">
        <v>19.735047950911781</v>
      </c>
      <c r="G428" s="2">
        <v>-72.857331430657297</v>
      </c>
      <c r="H428" s="8" t="str">
        <f>HYPERLINK(CONCATENATE("https://faluhong.users.earthengine.app/view/hispaniola-lc-validation#id=PF427;lat=19.73504795091178;lon=-72.8573314306573;year=2000;bf=40;level=18;"), "landsat_time_series")</f>
        <v>landsat_time_series</v>
      </c>
      <c r="I428" s="8" t="str">
        <f>HYPERLINK(CONCATENATE("https://jstnbraaten.users.earthengine.app/view/landsat-timeseries-explorer#run=true;lon=-72.8573314306573;lat=19.73504795091178;from=01-01;to=12-31;index=NBR;rgb=NIR%2FRED%2FGREEN;chipwidth=1;"), "landsat_chips")</f>
        <v>landsat_chips</v>
      </c>
      <c r="J428" s="8" t="str">
        <f>HYPERLINK(CONCATENATE("https://livingatlas.arcgis.com/wayback/#ext=-72.8583314306573,19.736047950911782,-72.85633143065729,19.73404795091178"), "wayback")</f>
        <v>wayback</v>
      </c>
      <c r="K428" s="2" t="s">
        <v>422</v>
      </c>
      <c r="L428" s="5"/>
      <c r="M428" s="5" t="s">
        <v>422</v>
      </c>
      <c r="N428" s="5"/>
    </row>
    <row r="429" spans="1:14" x14ac:dyDescent="0.35">
      <c r="A429" s="2">
        <v>428</v>
      </c>
      <c r="B429" s="2" t="s">
        <v>428</v>
      </c>
      <c r="C429" s="2" t="s">
        <v>860</v>
      </c>
      <c r="D429" s="2" t="s">
        <v>20</v>
      </c>
      <c r="E429" s="2">
        <v>40</v>
      </c>
      <c r="F429" s="2">
        <v>19.893212760960999</v>
      </c>
      <c r="G429" s="2">
        <v>-72.977402738756126</v>
      </c>
      <c r="H429" s="8" t="str">
        <f>HYPERLINK(CONCATENATE("https://faluhong.users.earthengine.app/view/hispaniola-lc-validation#id=PF428;lat=19.893212760961003;lon=-72.97740273875613;year=2000;bf=40;level=18;"), "landsat_time_series")</f>
        <v>landsat_time_series</v>
      </c>
      <c r="I429" s="8" t="str">
        <f>HYPERLINK(CONCATENATE("https://jstnbraaten.users.earthengine.app/view/landsat-timeseries-explorer#run=true;lon=-72.97740273875613;lat=19.893212760961003;from=01-01;to=12-31;index=NBR;rgb=NIR%2FRED%2FGREEN;chipwidth=1;"), "landsat_chips")</f>
        <v>landsat_chips</v>
      </c>
      <c r="J429" s="8" t="str">
        <f>HYPERLINK(CONCATENATE("https://livingatlas.arcgis.com/wayback/#ext=-72.97840273875613,19.894212760961004,-72.97640273875612,19.892212760961"), "wayback")</f>
        <v>wayback</v>
      </c>
      <c r="K429" s="2" t="s">
        <v>422</v>
      </c>
      <c r="L429" s="5"/>
      <c r="M429" s="5" t="s">
        <v>422</v>
      </c>
      <c r="N429" s="5"/>
    </row>
    <row r="430" spans="1:14" x14ac:dyDescent="0.35">
      <c r="A430" s="2">
        <v>429</v>
      </c>
      <c r="B430" s="2" t="s">
        <v>428</v>
      </c>
      <c r="C430" s="2" t="s">
        <v>861</v>
      </c>
      <c r="D430" s="2" t="s">
        <v>10</v>
      </c>
      <c r="E430" s="2">
        <v>41</v>
      </c>
      <c r="F430" s="2">
        <v>18.562001286052642</v>
      </c>
      <c r="G430" s="2">
        <v>-69.939293181246498</v>
      </c>
      <c r="H430" s="8" t="str">
        <f>HYPERLINK(CONCATENATE("https://faluhong.users.earthengine.app/view/hispaniola-lc-validation#id=PF429;lat=18.562001286052638;lon=-69.9392931812465;year=2000;bf=40;level=18;"), "landsat_time_series")</f>
        <v>landsat_time_series</v>
      </c>
      <c r="I430" s="8" t="str">
        <f>HYPERLINK(CONCATENATE("https://jstnbraaten.users.earthengine.app/view/landsat-timeseries-explorer#run=true;lon=-69.9392931812465;lat=18.562001286052638;from=01-01;to=12-31;index=NBR;rgb=NIR%2FRED%2FGREEN;chipwidth=1;"), "landsat_chips")</f>
        <v>landsat_chips</v>
      </c>
      <c r="J430" s="8" t="str">
        <f>HYPERLINK(CONCATENATE("https://livingatlas.arcgis.com/wayback/#ext=-69.9402931812465,18.56300128605264,-69.9382931812465,18.561001286052637"), "wayback")</f>
        <v>wayback</v>
      </c>
      <c r="K430" s="2" t="s">
        <v>422</v>
      </c>
      <c r="L430" s="5"/>
      <c r="M430" s="5" t="s">
        <v>422</v>
      </c>
      <c r="N430" s="5"/>
    </row>
    <row r="431" spans="1:14" x14ac:dyDescent="0.35">
      <c r="A431" s="2">
        <v>430</v>
      </c>
      <c r="B431" s="2" t="s">
        <v>428</v>
      </c>
      <c r="C431" s="2" t="s">
        <v>862</v>
      </c>
      <c r="D431" s="2" t="s">
        <v>10</v>
      </c>
      <c r="E431" s="2">
        <v>1710</v>
      </c>
      <c r="F431" s="2">
        <v>18.21005457814768</v>
      </c>
      <c r="G431" s="2">
        <v>-71.491333323653834</v>
      </c>
      <c r="H431" s="8" t="str">
        <f>HYPERLINK(CONCATENATE("https://faluhong.users.earthengine.app/view/hispaniola-lc-validation#id=PF430;lat=18.210054578147684;lon=-71.49133332365383;year=2000;bf=40;level=18;"), "landsat_time_series")</f>
        <v>landsat_time_series</v>
      </c>
      <c r="I431" s="8" t="str">
        <f>HYPERLINK(CONCATENATE("https://jstnbraaten.users.earthengine.app/view/landsat-timeseries-explorer#run=true;lon=-71.49133332365383;lat=18.210054578147684;from=01-01;to=12-31;index=NBR;rgb=NIR%2FRED%2FGREEN;chipwidth=1;"), "landsat_chips")</f>
        <v>landsat_chips</v>
      </c>
      <c r="J431" s="8" t="str">
        <f>HYPERLINK(CONCATENATE("https://livingatlas.arcgis.com/wayback/#ext=-71.49233332365384,18.211054578147685,-71.49033332365383,18.209054578147683"), "wayback")</f>
        <v>wayback</v>
      </c>
      <c r="K431" s="2" t="s">
        <v>418</v>
      </c>
      <c r="L431" s="5"/>
      <c r="M431" s="5" t="s">
        <v>418</v>
      </c>
      <c r="N431" s="5" t="s">
        <v>922</v>
      </c>
    </row>
    <row r="432" spans="1:14" x14ac:dyDescent="0.35">
      <c r="A432" s="2">
        <v>431</v>
      </c>
      <c r="B432" s="2" t="s">
        <v>428</v>
      </c>
      <c r="C432" s="2" t="s">
        <v>863</v>
      </c>
      <c r="D432" s="2" t="s">
        <v>10</v>
      </c>
      <c r="E432" s="2">
        <v>479</v>
      </c>
      <c r="F432" s="2">
        <v>18.948123742631012</v>
      </c>
      <c r="G432" s="2">
        <v>-71.457322183594115</v>
      </c>
      <c r="H432" s="8" t="str">
        <f>HYPERLINK(CONCATENATE("https://faluhong.users.earthengine.app/view/hispaniola-lc-validation#id=PF431;lat=18.948123742631008;lon=-71.45732218359412;year=2000;bf=40;level=18;"), "landsat_time_series")</f>
        <v>landsat_time_series</v>
      </c>
      <c r="I432" s="8" t="str">
        <f>HYPERLINK(CONCATENATE("https://jstnbraaten.users.earthengine.app/view/landsat-timeseries-explorer#run=true;lon=-71.45732218359412;lat=18.948123742631008;from=01-01;to=12-31;index=NBR;rgb=NIR%2FRED%2FGREEN;chipwidth=1;"), "landsat_chips")</f>
        <v>landsat_chips</v>
      </c>
      <c r="J432" s="8" t="str">
        <f>HYPERLINK(CONCATENATE("https://livingatlas.arcgis.com/wayback/#ext=-71.45832218359412,18.94912374263101,-71.45632218359411,18.947123742631007"), "wayback")</f>
        <v>wayback</v>
      </c>
      <c r="K432" s="2" t="s">
        <v>422</v>
      </c>
      <c r="L432" s="5"/>
      <c r="M432" s="5" t="s">
        <v>422</v>
      </c>
      <c r="N432" s="5"/>
    </row>
    <row r="433" spans="1:14" x14ac:dyDescent="0.35">
      <c r="A433" s="2">
        <v>432</v>
      </c>
      <c r="B433" s="2" t="s">
        <v>428</v>
      </c>
      <c r="C433" s="2" t="s">
        <v>864</v>
      </c>
      <c r="D433" s="2" t="s">
        <v>10</v>
      </c>
      <c r="E433" s="2">
        <v>1430</v>
      </c>
      <c r="F433" s="2">
        <v>18.935317496216069</v>
      </c>
      <c r="G433" s="2">
        <v>-70.961390776794261</v>
      </c>
      <c r="H433" s="8" t="str">
        <f>HYPERLINK(CONCATENATE("https://faluhong.users.earthengine.app/view/hispaniola-lc-validation#id=PF432;lat=18.93531749621607;lon=-70.96139077679426;year=2000;bf=40;level=18;"), "landsat_time_series")</f>
        <v>landsat_time_series</v>
      </c>
      <c r="I433" s="8" t="str">
        <f>HYPERLINK(CONCATENATE("https://jstnbraaten.users.earthengine.app/view/landsat-timeseries-explorer#run=true;lon=-70.96139077679426;lat=18.93531749621607;from=01-01;to=12-31;index=NBR;rgb=NIR%2FRED%2FGREEN;chipwidth=1;"), "landsat_chips")</f>
        <v>landsat_chips</v>
      </c>
      <c r="J433" s="8" t="str">
        <f>HYPERLINK(CONCATENATE("https://livingatlas.arcgis.com/wayback/#ext=-70.96239077679427,18.93631749621607,-70.96039077679426,18.934317496216067"), "wayback")</f>
        <v>wayback</v>
      </c>
      <c r="K433" s="2" t="s">
        <v>418</v>
      </c>
      <c r="L433" s="5" t="b">
        <v>1</v>
      </c>
      <c r="M433" s="5"/>
      <c r="N433" s="5"/>
    </row>
    <row r="434" spans="1:14" x14ac:dyDescent="0.35">
      <c r="A434" s="2">
        <v>433</v>
      </c>
      <c r="B434" s="2" t="s">
        <v>428</v>
      </c>
      <c r="C434" s="2" t="s">
        <v>865</v>
      </c>
      <c r="D434" s="2" t="s">
        <v>20</v>
      </c>
      <c r="E434" s="2">
        <v>26</v>
      </c>
      <c r="F434" s="2">
        <v>18.91953843102624</v>
      </c>
      <c r="G434" s="2">
        <v>-73.297573093862752</v>
      </c>
      <c r="H434" s="8" t="str">
        <f>HYPERLINK(CONCATENATE("https://faluhong.users.earthengine.app/view/hispaniola-lc-validation#id=PF433;lat=18.919538431026243;lon=-73.29757309386275;year=2000;bf=40;level=18;"), "landsat_time_series")</f>
        <v>landsat_time_series</v>
      </c>
      <c r="I434" s="8" t="str">
        <f>HYPERLINK(CONCATENATE("https://jstnbraaten.users.earthengine.app/view/landsat-timeseries-explorer#run=true;lon=-73.29757309386275;lat=18.919538431026243;from=01-01;to=12-31;index=NBR;rgb=NIR%2FRED%2FGREEN;chipwidth=1;"), "landsat_chips")</f>
        <v>landsat_chips</v>
      </c>
      <c r="J434" s="8" t="str">
        <f>HYPERLINK(CONCATENATE("https://livingatlas.arcgis.com/wayback/#ext=-73.29857309386276,18.920538431026245,-73.29657309386275,18.918538431026242"), "wayback")</f>
        <v>wayback</v>
      </c>
      <c r="K434" s="2" t="s">
        <v>422</v>
      </c>
      <c r="L434" s="5"/>
      <c r="M434" s="5" t="s">
        <v>422</v>
      </c>
      <c r="N434" s="5"/>
    </row>
    <row r="435" spans="1:14" x14ac:dyDescent="0.35">
      <c r="A435" s="2">
        <v>434</v>
      </c>
      <c r="B435" s="2" t="s">
        <v>428</v>
      </c>
      <c r="C435" s="2" t="s">
        <v>866</v>
      </c>
      <c r="D435" s="2" t="s">
        <v>10</v>
      </c>
      <c r="E435" s="2">
        <v>799</v>
      </c>
      <c r="F435" s="2">
        <v>18.746930890119131</v>
      </c>
      <c r="G435" s="2">
        <v>-70.820847688024401</v>
      </c>
      <c r="H435" s="8" t="str">
        <f>HYPERLINK(CONCATENATE("https://faluhong.users.earthengine.app/view/hispaniola-lc-validation#id=PF434;lat=18.74693089011913;lon=-70.8208476880244;year=2000;bf=40;level=18;"), "landsat_time_series")</f>
        <v>landsat_time_series</v>
      </c>
      <c r="I435" s="8" t="str">
        <f>HYPERLINK(CONCATENATE("https://jstnbraaten.users.earthengine.app/view/landsat-timeseries-explorer#run=true;lon=-70.8208476880244;lat=18.74693089011913;from=01-01;to=12-31;index=NBR;rgb=NIR%2FRED%2FGREEN;chipwidth=1;"), "landsat_chips")</f>
        <v>landsat_chips</v>
      </c>
      <c r="J435" s="8" t="str">
        <f>HYPERLINK(CONCATENATE("https://livingatlas.arcgis.com/wayback/#ext=-70.8218476880244,18.747930890119132,-70.8198476880244,18.74593089011913"), "wayback")</f>
        <v>wayback</v>
      </c>
      <c r="K435" s="2" t="s">
        <v>422</v>
      </c>
      <c r="L435" s="5"/>
      <c r="M435" s="5" t="s">
        <v>422</v>
      </c>
      <c r="N435" s="5"/>
    </row>
    <row r="436" spans="1:14" x14ac:dyDescent="0.35">
      <c r="A436" s="2">
        <v>435</v>
      </c>
      <c r="B436" s="2" t="s">
        <v>428</v>
      </c>
      <c r="C436" s="2" t="s">
        <v>867</v>
      </c>
      <c r="D436" s="2" t="s">
        <v>20</v>
      </c>
      <c r="E436" s="2">
        <v>452</v>
      </c>
      <c r="F436" s="2">
        <v>18.280757333164541</v>
      </c>
      <c r="G436" s="2">
        <v>-72.853016527205369</v>
      </c>
      <c r="H436" s="8" t="str">
        <f>HYPERLINK(CONCATENATE("https://faluhong.users.earthengine.app/view/hispaniola-lc-validation#id=PF435;lat=18.28075733316454;lon=-72.85301652720537;year=2000;bf=40;level=18;"), "landsat_time_series")</f>
        <v>landsat_time_series</v>
      </c>
      <c r="I436" s="8" t="str">
        <f>HYPERLINK(CONCATENATE("https://jstnbraaten.users.earthengine.app/view/landsat-timeseries-explorer#run=true;lon=-72.85301652720537;lat=18.28075733316454;from=01-01;to=12-31;index=NBR;rgb=NIR%2FRED%2FGREEN;chipwidth=1;"), "landsat_chips")</f>
        <v>landsat_chips</v>
      </c>
      <c r="J436" s="8" t="str">
        <f>HYPERLINK(CONCATENATE("https://livingatlas.arcgis.com/wayback/#ext=-72.85401652720537,18.281757333164542,-72.85201652720536,18.27975733316454"), "wayback")</f>
        <v>wayback</v>
      </c>
      <c r="K436" s="2" t="s">
        <v>422</v>
      </c>
      <c r="L436" s="5"/>
      <c r="M436" s="5" t="s">
        <v>422</v>
      </c>
      <c r="N436" s="5"/>
    </row>
    <row r="437" spans="1:14" x14ac:dyDescent="0.35">
      <c r="A437" s="2">
        <v>436</v>
      </c>
      <c r="B437" s="2" t="s">
        <v>428</v>
      </c>
      <c r="C437" s="2" t="s">
        <v>868</v>
      </c>
      <c r="D437" s="2" t="s">
        <v>10</v>
      </c>
      <c r="E437" s="2">
        <v>45</v>
      </c>
      <c r="F437" s="2">
        <v>18.308046387475819</v>
      </c>
      <c r="G437" s="2">
        <v>-68.743136260323226</v>
      </c>
      <c r="H437" s="8" t="str">
        <f>HYPERLINK(CONCATENATE("https://faluhong.users.earthengine.app/view/hispaniola-lc-validation#id=PF436;lat=18.308046387475823;lon=-68.74313626032323;year=2000;bf=40;level=18;"), "landsat_time_series")</f>
        <v>landsat_time_series</v>
      </c>
      <c r="I437" s="8" t="str">
        <f>HYPERLINK(CONCATENATE("https://jstnbraaten.users.earthengine.app/view/landsat-timeseries-explorer#run=true;lon=-68.74313626032323;lat=18.308046387475823;from=01-01;to=12-31;index=NBR;rgb=NIR%2FRED%2FGREEN;chipwidth=1;"), "landsat_chips")</f>
        <v>landsat_chips</v>
      </c>
      <c r="J437" s="8" t="str">
        <f>HYPERLINK(CONCATENATE("https://livingatlas.arcgis.com/wayback/#ext=-68.74413626032323,18.309046387475824,-68.74213626032322,18.307046387475822"), "wayback")</f>
        <v>wayback</v>
      </c>
      <c r="K437" s="2" t="s">
        <v>422</v>
      </c>
      <c r="L437" s="5"/>
      <c r="M437" s="5" t="s">
        <v>422</v>
      </c>
      <c r="N437" s="5"/>
    </row>
    <row r="438" spans="1:14" x14ac:dyDescent="0.35">
      <c r="A438" s="2">
        <v>437</v>
      </c>
      <c r="B438" s="2" t="s">
        <v>428</v>
      </c>
      <c r="C438" s="2" t="s">
        <v>869</v>
      </c>
      <c r="D438" s="2" t="s">
        <v>10</v>
      </c>
      <c r="E438" s="2">
        <v>32</v>
      </c>
      <c r="F438" s="2">
        <v>18.484741710944299</v>
      </c>
      <c r="G438" s="2">
        <v>-71.425669000802671</v>
      </c>
      <c r="H438" s="8" t="str">
        <f>HYPERLINK(CONCATENATE("https://faluhong.users.earthengine.app/view/hispaniola-lc-validation#id=PF437;lat=18.484741710944302;lon=-71.42566900080267;year=2000;bf=40;level=18;"), "landsat_time_series")</f>
        <v>landsat_time_series</v>
      </c>
      <c r="I438" s="8" t="str">
        <f>HYPERLINK(CONCATENATE("https://jstnbraaten.users.earthengine.app/view/landsat-timeseries-explorer#run=true;lon=-71.42566900080267;lat=18.484741710944302;from=01-01;to=12-31;index=NBR;rgb=NIR%2FRED%2FGREEN;chipwidth=1;"), "landsat_chips")</f>
        <v>landsat_chips</v>
      </c>
      <c r="J438" s="8" t="str">
        <f>HYPERLINK(CONCATENATE("https://livingatlas.arcgis.com/wayback/#ext=-71.42666900080268,18.485741710944303,-71.42466900080267,18.4837417109443"), "wayback")</f>
        <v>wayback</v>
      </c>
      <c r="K438" s="2" t="s">
        <v>422</v>
      </c>
      <c r="L438" s="5"/>
      <c r="M438" s="5" t="s">
        <v>422</v>
      </c>
      <c r="N438" s="5"/>
    </row>
    <row r="439" spans="1:14" x14ac:dyDescent="0.35">
      <c r="A439" s="2">
        <v>438</v>
      </c>
      <c r="B439" s="2" t="s">
        <v>428</v>
      </c>
      <c r="C439" s="2" t="s">
        <v>870</v>
      </c>
      <c r="D439" s="2" t="s">
        <v>10</v>
      </c>
      <c r="E439" s="2">
        <v>1606</v>
      </c>
      <c r="F439" s="2">
        <v>18.18000552462042</v>
      </c>
      <c r="G439" s="2">
        <v>-71.451598621315043</v>
      </c>
      <c r="H439" s="8" t="str">
        <f>HYPERLINK(CONCATENATE("https://faluhong.users.earthengine.app/view/hispaniola-lc-validation#id=PF438;lat=18.180005524620423;lon=-71.45159862131504;year=2000;bf=40;level=18;"), "landsat_time_series")</f>
        <v>landsat_time_series</v>
      </c>
      <c r="I439" s="8" t="str">
        <f>HYPERLINK(CONCATENATE("https://jstnbraaten.users.earthengine.app/view/landsat-timeseries-explorer#run=true;lon=-71.45159862131504;lat=18.180005524620423;from=01-01;to=12-31;index=NBR;rgb=NIR%2FRED%2FGREEN;chipwidth=1;"), "landsat_chips")</f>
        <v>landsat_chips</v>
      </c>
      <c r="J439" s="8" t="str">
        <f>HYPERLINK(CONCATENATE("https://livingatlas.arcgis.com/wayback/#ext=-71.45259862131505,18.181005524620424,-71.45059862131504,18.179005524620422"), "wayback")</f>
        <v>wayback</v>
      </c>
      <c r="K439" s="2" t="s">
        <v>418</v>
      </c>
      <c r="L439" s="5"/>
      <c r="M439" s="5" t="s">
        <v>418</v>
      </c>
      <c r="N439" s="5" t="s">
        <v>419</v>
      </c>
    </row>
    <row r="440" spans="1:14" x14ac:dyDescent="0.35">
      <c r="A440" s="2">
        <v>439</v>
      </c>
      <c r="B440" s="2" t="s">
        <v>428</v>
      </c>
      <c r="C440" s="2" t="s">
        <v>871</v>
      </c>
      <c r="D440" s="2" t="s">
        <v>10</v>
      </c>
      <c r="E440" s="2">
        <v>223</v>
      </c>
      <c r="F440" s="2">
        <v>18.884287924910659</v>
      </c>
      <c r="G440" s="2">
        <v>-70.346600762779886</v>
      </c>
      <c r="H440" s="8" t="str">
        <f>HYPERLINK(CONCATENATE("https://faluhong.users.earthengine.app/view/hispaniola-lc-validation#id=PF439;lat=18.884287924910655;lon=-70.34660076277989;year=2000;bf=40;level=18;"), "landsat_time_series")</f>
        <v>landsat_time_series</v>
      </c>
      <c r="I440" s="8" t="str">
        <f>HYPERLINK(CONCATENATE("https://jstnbraaten.users.earthengine.app/view/landsat-timeseries-explorer#run=true;lon=-70.34660076277989;lat=18.884287924910655;from=01-01;to=12-31;index=NBR;rgb=NIR%2FRED%2FGREEN;chipwidth=1;"), "landsat_chips")</f>
        <v>landsat_chips</v>
      </c>
      <c r="J440" s="8" t="str">
        <f>HYPERLINK(CONCATENATE("https://livingatlas.arcgis.com/wayback/#ext=-70.34760076277989,18.885287924910656,-70.34560076277988,18.883287924910654"), "wayback")</f>
        <v>wayback</v>
      </c>
      <c r="K440" s="2" t="s">
        <v>422</v>
      </c>
      <c r="L440" s="5"/>
      <c r="M440" s="5" t="s">
        <v>422</v>
      </c>
      <c r="N440" s="5"/>
    </row>
    <row r="441" spans="1:14" x14ac:dyDescent="0.35">
      <c r="A441" s="2">
        <v>440</v>
      </c>
      <c r="B441" s="2" t="s">
        <v>428</v>
      </c>
      <c r="C441" s="2" t="s">
        <v>872</v>
      </c>
      <c r="D441" s="2" t="s">
        <v>20</v>
      </c>
      <c r="E441" s="2">
        <v>594</v>
      </c>
      <c r="F441" s="2">
        <v>18.370538552735191</v>
      </c>
      <c r="G441" s="2">
        <v>-72.416669366663342</v>
      </c>
      <c r="H441" s="8" t="str">
        <f>HYPERLINK(CONCATENATE("https://faluhong.users.earthengine.app/view/hispaniola-lc-validation#id=PF440;lat=18.37053855273519;lon=-72.41666936666334;year=2000;bf=40;level=18;"), "landsat_time_series")</f>
        <v>landsat_time_series</v>
      </c>
      <c r="I441" s="8" t="str">
        <f>HYPERLINK(CONCATENATE("https://jstnbraaten.users.earthengine.app/view/landsat-timeseries-explorer#run=true;lon=-72.41666936666334;lat=18.37053855273519;from=01-01;to=12-31;index=NBR;rgb=NIR%2FRED%2FGREEN;chipwidth=1;"), "landsat_chips")</f>
        <v>landsat_chips</v>
      </c>
      <c r="J441" s="8" t="str">
        <f>HYPERLINK(CONCATENATE("https://livingatlas.arcgis.com/wayback/#ext=-72.41766936666335,18.371538552735192,-72.41566936666334,18.36953855273519"), "wayback")</f>
        <v>wayback</v>
      </c>
      <c r="K441" s="2" t="s">
        <v>422</v>
      </c>
      <c r="L441" s="5"/>
      <c r="M441" s="5" t="s">
        <v>422</v>
      </c>
      <c r="N441" s="5"/>
    </row>
    <row r="442" spans="1:14" x14ac:dyDescent="0.35">
      <c r="A442" s="2">
        <v>441</v>
      </c>
      <c r="B442" s="2" t="s">
        <v>428</v>
      </c>
      <c r="C442" s="2" t="s">
        <v>873</v>
      </c>
      <c r="D442" s="2" t="s">
        <v>20</v>
      </c>
      <c r="E442" s="2">
        <v>219</v>
      </c>
      <c r="F442" s="2">
        <v>18.52746505832965</v>
      </c>
      <c r="G442" s="2">
        <v>-73.673449581268173</v>
      </c>
      <c r="H442" s="8" t="str">
        <f>HYPERLINK(CONCATENATE("https://faluhong.users.earthengine.app/view/hispaniola-lc-validation#id=PF441;lat=18.527465058329646;lon=-73.67344958126817;year=2000;bf=40;level=18;"), "landsat_time_series")</f>
        <v>landsat_time_series</v>
      </c>
      <c r="I442" s="8" t="str">
        <f>HYPERLINK(CONCATENATE("https://jstnbraaten.users.earthengine.app/view/landsat-timeseries-explorer#run=true;lon=-73.67344958126817;lat=18.527465058329646;from=01-01;to=12-31;index=NBR;rgb=NIR%2FRED%2FGREEN;chipwidth=1;"), "landsat_chips")</f>
        <v>landsat_chips</v>
      </c>
      <c r="J442" s="8" t="str">
        <f>HYPERLINK(CONCATENATE("https://livingatlas.arcgis.com/wayback/#ext=-73.67444958126818,18.528465058329648,-73.67244958126817,18.526465058329645"), "wayback")</f>
        <v>wayback</v>
      </c>
      <c r="K442" s="2" t="s">
        <v>422</v>
      </c>
      <c r="L442" s="5"/>
      <c r="M442" s="5" t="s">
        <v>422</v>
      </c>
      <c r="N442" s="5"/>
    </row>
    <row r="443" spans="1:14" x14ac:dyDescent="0.35">
      <c r="A443" s="2">
        <v>442</v>
      </c>
      <c r="B443" s="2" t="s">
        <v>428</v>
      </c>
      <c r="C443" s="2" t="s">
        <v>874</v>
      </c>
      <c r="D443" s="2" t="s">
        <v>20</v>
      </c>
      <c r="E443" s="2">
        <v>85</v>
      </c>
      <c r="F443" s="2">
        <v>19.915673997600042</v>
      </c>
      <c r="G443" s="2">
        <v>-72.825047959763495</v>
      </c>
      <c r="H443" s="8" t="str">
        <f>HYPERLINK(CONCATENATE("https://faluhong.users.earthengine.app/view/hispaniola-lc-validation#id=PF442;lat=19.91567399760004;lon=-72.8250479597635;year=2000;bf=40;level=18;"), "landsat_time_series")</f>
        <v>landsat_time_series</v>
      </c>
      <c r="I443" s="8" t="str">
        <f>HYPERLINK(CONCATENATE("https://jstnbraaten.users.earthengine.app/view/landsat-timeseries-explorer#run=true;lon=-72.8250479597635;lat=19.91567399760004;from=01-01;to=12-31;index=NBR;rgb=NIR%2FRED%2FGREEN;chipwidth=1;"), "landsat_chips")</f>
        <v>landsat_chips</v>
      </c>
      <c r="J443" s="8" t="str">
        <f>HYPERLINK(CONCATENATE("https://livingatlas.arcgis.com/wayback/#ext=-72.8260479597635,19.916673997600043,-72.82404795976349,19.91467399760004"), "wayback")</f>
        <v>wayback</v>
      </c>
      <c r="K443" s="2" t="s">
        <v>422</v>
      </c>
      <c r="L443" s="5"/>
      <c r="M443" s="5" t="s">
        <v>422</v>
      </c>
      <c r="N443" s="5"/>
    </row>
    <row r="444" spans="1:14" x14ac:dyDescent="0.35">
      <c r="A444" s="2">
        <v>443</v>
      </c>
      <c r="B444" s="2" t="s">
        <v>428</v>
      </c>
      <c r="C444" s="2" t="s">
        <v>875</v>
      </c>
      <c r="D444" s="2" t="s">
        <v>10</v>
      </c>
      <c r="E444" s="2">
        <v>104</v>
      </c>
      <c r="F444" s="2">
        <v>18.897905551591631</v>
      </c>
      <c r="G444" s="2">
        <v>-68.776779242784897</v>
      </c>
      <c r="H444" s="8" t="str">
        <f>HYPERLINK(CONCATENATE("https://faluhong.users.earthengine.app/view/hispaniola-lc-validation#id=PF443;lat=18.897905551591627;lon=-68.7767792427849;year=2000;bf=40;level=18;"), "landsat_time_series")</f>
        <v>landsat_time_series</v>
      </c>
      <c r="I444" s="8" t="str">
        <f>HYPERLINK(CONCATENATE("https://jstnbraaten.users.earthengine.app/view/landsat-timeseries-explorer#run=true;lon=-68.7767792427849;lat=18.897905551591627;from=01-01;to=12-31;index=NBR;rgb=NIR%2FRED%2FGREEN;chipwidth=1;"), "landsat_chips")</f>
        <v>landsat_chips</v>
      </c>
      <c r="J444" s="8" t="str">
        <f>HYPERLINK(CONCATENATE("https://livingatlas.arcgis.com/wayback/#ext=-68.7777792427849,18.89890555159163,-68.77577924278489,18.896905551591626"), "wayback")</f>
        <v>wayback</v>
      </c>
      <c r="K444" s="2" t="s">
        <v>422</v>
      </c>
      <c r="L444" s="5"/>
      <c r="M444" s="5" t="s">
        <v>422</v>
      </c>
      <c r="N444" s="5"/>
    </row>
    <row r="445" spans="1:14" x14ac:dyDescent="0.35">
      <c r="A445" s="2">
        <v>444</v>
      </c>
      <c r="B445" s="2" t="s">
        <v>428</v>
      </c>
      <c r="C445" s="2" t="s">
        <v>876</v>
      </c>
      <c r="D445" s="2" t="s">
        <v>10</v>
      </c>
      <c r="E445" s="2">
        <v>403</v>
      </c>
      <c r="F445" s="2">
        <v>18.754671265828769</v>
      </c>
      <c r="G445" s="2">
        <v>-71.217609836902639</v>
      </c>
      <c r="H445" s="8" t="str">
        <f>HYPERLINK(CONCATENATE("https://faluhong.users.earthengine.app/view/hispaniola-lc-validation#id=PF444;lat=18.75467126582877;lon=-71.21760983690264;year=2000;bf=40;level=18;"), "landsat_time_series")</f>
        <v>landsat_time_series</v>
      </c>
      <c r="I445" s="8" t="str">
        <f>HYPERLINK(CONCATENATE("https://jstnbraaten.users.earthengine.app/view/landsat-timeseries-explorer#run=true;lon=-71.21760983690264;lat=18.75467126582877;from=01-01;to=12-31;index=NBR;rgb=NIR%2FRED%2FGREEN;chipwidth=1;"), "landsat_chips")</f>
        <v>landsat_chips</v>
      </c>
      <c r="J445" s="8" t="str">
        <f>HYPERLINK(CONCATENATE("https://livingatlas.arcgis.com/wayback/#ext=-71.21860983690264,18.75567126582877,-71.21660983690263,18.753671265828768"), "wayback")</f>
        <v>wayback</v>
      </c>
      <c r="K445" s="2" t="s">
        <v>422</v>
      </c>
      <c r="L445" s="5"/>
      <c r="M445" s="5" t="s">
        <v>422</v>
      </c>
      <c r="N445" s="5"/>
    </row>
    <row r="446" spans="1:14" x14ac:dyDescent="0.35">
      <c r="A446" s="2">
        <v>445</v>
      </c>
      <c r="B446" s="2" t="s">
        <v>428</v>
      </c>
      <c r="C446" s="2" t="s">
        <v>877</v>
      </c>
      <c r="D446" s="2" t="s">
        <v>10</v>
      </c>
      <c r="E446" s="2">
        <v>462</v>
      </c>
      <c r="F446" s="2">
        <v>18.42860252030782</v>
      </c>
      <c r="G446" s="2">
        <v>-70.446614172168793</v>
      </c>
      <c r="H446" s="8" t="str">
        <f>HYPERLINK(CONCATENATE("https://faluhong.users.earthengine.app/view/hispaniola-lc-validation#id=PF445;lat=18.428602520307816;lon=-70.4466141721688;year=2000;bf=40;level=18;"), "landsat_time_series")</f>
        <v>landsat_time_series</v>
      </c>
      <c r="I446" s="8" t="str">
        <f>HYPERLINK(CONCATENATE("https://jstnbraaten.users.earthengine.app/view/landsat-timeseries-explorer#run=true;lon=-70.4466141721688;lat=18.428602520307816;from=01-01;to=12-31;index=NBR;rgb=NIR%2FRED%2FGREEN;chipwidth=1;"), "landsat_chips")</f>
        <v>landsat_chips</v>
      </c>
      <c r="J446" s="8" t="str">
        <f>HYPERLINK(CONCATENATE("https://livingatlas.arcgis.com/wayback/#ext=-70.4476141721688,18.429602520307817,-70.44561417216879,18.427602520307815"), "wayback")</f>
        <v>wayback</v>
      </c>
      <c r="K446" s="2" t="s">
        <v>422</v>
      </c>
      <c r="L446" s="5"/>
      <c r="M446" s="5" t="s">
        <v>422</v>
      </c>
      <c r="N446" s="5"/>
    </row>
    <row r="447" spans="1:14" x14ac:dyDescent="0.35">
      <c r="A447" s="2">
        <v>446</v>
      </c>
      <c r="B447" s="2" t="s">
        <v>428</v>
      </c>
      <c r="C447" s="2" t="s">
        <v>878</v>
      </c>
      <c r="D447" s="2" t="s">
        <v>20</v>
      </c>
      <c r="E447" s="2">
        <v>408</v>
      </c>
      <c r="F447" s="2">
        <v>18.514949757200402</v>
      </c>
      <c r="G447" s="2">
        <v>-74.041933290265476</v>
      </c>
      <c r="H447" s="8" t="str">
        <f>HYPERLINK(CONCATENATE("https://faluhong.users.earthengine.app/view/hispaniola-lc-validation#id=PF446;lat=18.514949757200398;lon=-74.04193329026548;year=2000;bf=40;level=18;"), "landsat_time_series")</f>
        <v>landsat_time_series</v>
      </c>
      <c r="I447" s="8" t="str">
        <f>HYPERLINK(CONCATENATE("https://jstnbraaten.users.earthengine.app/view/landsat-timeseries-explorer#run=true;lon=-74.04193329026548;lat=18.514949757200398;from=01-01;to=12-31;index=NBR;rgb=NIR%2FRED%2FGREEN;chipwidth=1;"), "landsat_chips")</f>
        <v>landsat_chips</v>
      </c>
      <c r="J447" s="8" t="str">
        <f>HYPERLINK(CONCATENATE("https://livingatlas.arcgis.com/wayback/#ext=-74.04293329026548,18.5159497572004,-74.04093329026547,18.513949757200397"), "wayback")</f>
        <v>wayback</v>
      </c>
      <c r="K447" s="2" t="s">
        <v>422</v>
      </c>
      <c r="L447" s="5"/>
      <c r="M447" s="5" t="s">
        <v>422</v>
      </c>
      <c r="N447" s="5"/>
    </row>
    <row r="448" spans="1:14" x14ac:dyDescent="0.35">
      <c r="A448" s="2">
        <v>447</v>
      </c>
      <c r="B448" s="2" t="s">
        <v>428</v>
      </c>
      <c r="C448" s="2" t="s">
        <v>879</v>
      </c>
      <c r="D448" s="2" t="s">
        <v>20</v>
      </c>
      <c r="E448" s="2">
        <v>724</v>
      </c>
      <c r="F448" s="2">
        <v>18.209643389777359</v>
      </c>
      <c r="G448" s="2">
        <v>-71.768551922148376</v>
      </c>
      <c r="H448" s="8" t="str">
        <f>HYPERLINK(CONCATENATE("https://faluhong.users.earthengine.app/view/hispaniola-lc-validation#id=PF447;lat=18.209643389777355;lon=-71.76855192214838;year=2000;bf=40;level=18;"), "landsat_time_series")</f>
        <v>landsat_time_series</v>
      </c>
      <c r="I448" s="8" t="str">
        <f>HYPERLINK(CONCATENATE("https://jstnbraaten.users.earthengine.app/view/landsat-timeseries-explorer#run=true;lon=-71.76855192214838;lat=18.209643389777355;from=01-01;to=12-31;index=NBR;rgb=NIR%2FRED%2FGREEN;chipwidth=1;"), "landsat_chips")</f>
        <v>landsat_chips</v>
      </c>
      <c r="J448" s="8" t="str">
        <f>HYPERLINK(CONCATENATE("https://livingatlas.arcgis.com/wayback/#ext=-71.76955192214838,18.210643389777356,-71.76755192214837,18.208643389777354"), "wayback")</f>
        <v>wayback</v>
      </c>
      <c r="K448" s="2" t="s">
        <v>422</v>
      </c>
      <c r="L448" s="5"/>
      <c r="M448" s="5" t="s">
        <v>422</v>
      </c>
      <c r="N448" s="5"/>
    </row>
    <row r="449" spans="1:14" x14ac:dyDescent="0.35">
      <c r="A449" s="2">
        <v>448</v>
      </c>
      <c r="B449" s="2" t="s">
        <v>428</v>
      </c>
      <c r="C449" s="2" t="s">
        <v>880</v>
      </c>
      <c r="D449" s="2" t="s">
        <v>10</v>
      </c>
      <c r="E449" s="2">
        <v>1318</v>
      </c>
      <c r="F449" s="2">
        <v>19.018709917026658</v>
      </c>
      <c r="G449" s="2">
        <v>-70.515989666263735</v>
      </c>
      <c r="H449" s="8" t="str">
        <f>HYPERLINK(CONCATENATE("https://faluhong.users.earthengine.app/view/hispaniola-lc-validation#id=PF448;lat=19.01870991702666;lon=-70.51598966626374;year=2000;bf=40;level=18;"), "landsat_time_series")</f>
        <v>landsat_time_series</v>
      </c>
      <c r="I449" s="8" t="str">
        <f>HYPERLINK(CONCATENATE("https://jstnbraaten.users.earthengine.app/view/landsat-timeseries-explorer#run=true;lon=-70.51598966626374;lat=19.01870991702666;from=01-01;to=12-31;index=NBR;rgb=NIR%2FRED%2FGREEN;chipwidth=1;"), "landsat_chips")</f>
        <v>landsat_chips</v>
      </c>
      <c r="J449" s="8" t="str">
        <f>HYPERLINK(CONCATENATE("https://livingatlas.arcgis.com/wayback/#ext=-70.51698966626374,19.01970991702666,-70.51498966626373,19.017709917026657"), "wayback")</f>
        <v>wayback</v>
      </c>
      <c r="K449" s="2" t="s">
        <v>418</v>
      </c>
      <c r="L449" s="5"/>
      <c r="M449" s="5" t="s">
        <v>418</v>
      </c>
      <c r="N449" s="5" t="s">
        <v>922</v>
      </c>
    </row>
    <row r="450" spans="1:14" x14ac:dyDescent="0.35">
      <c r="A450" s="2">
        <v>449</v>
      </c>
      <c r="B450" s="2" t="s">
        <v>428</v>
      </c>
      <c r="C450" s="2" t="s">
        <v>881</v>
      </c>
      <c r="D450" s="2" t="s">
        <v>20</v>
      </c>
      <c r="E450" s="2">
        <v>635</v>
      </c>
      <c r="F450" s="2">
        <v>19.068939028053691</v>
      </c>
      <c r="G450" s="2">
        <v>-72.088818914758903</v>
      </c>
      <c r="H450" s="8" t="str">
        <f>HYPERLINK(CONCATENATE("https://faluhong.users.earthengine.app/view/hispaniola-lc-validation#id=PF449;lat=19.068939028053695;lon=-72.0888189147589;year=2000;bf=40;level=18;"), "landsat_time_series")</f>
        <v>landsat_time_series</v>
      </c>
      <c r="I450" s="8" t="str">
        <f>HYPERLINK(CONCATENATE("https://jstnbraaten.users.earthengine.app/view/landsat-timeseries-explorer#run=true;lon=-72.0888189147589;lat=19.068939028053695;from=01-01;to=12-31;index=NBR;rgb=NIR%2FRED%2FGREEN;chipwidth=1;"), "landsat_chips")</f>
        <v>landsat_chips</v>
      </c>
      <c r="J450" s="8" t="str">
        <f>HYPERLINK(CONCATENATE("https://livingatlas.arcgis.com/wayback/#ext=-72.08981891475891,19.069939028053696,-72.0878189147589,19.067939028053694"), "wayback")</f>
        <v>wayback</v>
      </c>
      <c r="K450" s="2" t="s">
        <v>422</v>
      </c>
      <c r="L450" s="5"/>
      <c r="M450" s="5" t="s">
        <v>422</v>
      </c>
      <c r="N450" s="5"/>
    </row>
    <row r="451" spans="1:14" x14ac:dyDescent="0.35">
      <c r="A451" s="2">
        <v>450</v>
      </c>
      <c r="B451" s="2" t="s">
        <v>428</v>
      </c>
      <c r="C451" s="2" t="s">
        <v>882</v>
      </c>
      <c r="D451" s="2" t="s">
        <v>10</v>
      </c>
      <c r="E451" s="2">
        <v>76</v>
      </c>
      <c r="F451" s="2">
        <v>18.780791308193091</v>
      </c>
      <c r="G451" s="2">
        <v>-69.565203761811858</v>
      </c>
      <c r="H451" s="8" t="str">
        <f>HYPERLINK(CONCATENATE("https://faluhong.users.earthengine.app/view/hispaniola-lc-validation#id=PF450;lat=18.780791308193095;lon=-69.56520376181186;year=2000;bf=40;level=18;"), "landsat_time_series")</f>
        <v>landsat_time_series</v>
      </c>
      <c r="I451" s="8" t="str">
        <f>HYPERLINK(CONCATENATE("https://jstnbraaten.users.earthengine.app/view/landsat-timeseries-explorer#run=true;lon=-69.56520376181186;lat=18.780791308193095;from=01-01;to=12-31;index=NBR;rgb=NIR%2FRED%2FGREEN;chipwidth=1;"), "landsat_chips")</f>
        <v>landsat_chips</v>
      </c>
      <c r="J451" s="8" t="str">
        <f>HYPERLINK(CONCATENATE("https://livingatlas.arcgis.com/wayback/#ext=-69.56620376181186,18.781791308193096,-69.56420376181185,18.779791308193094"), "wayback")</f>
        <v>wayback</v>
      </c>
      <c r="K451" s="2" t="s">
        <v>422</v>
      </c>
      <c r="L451" s="5"/>
      <c r="M451" s="5" t="s">
        <v>422</v>
      </c>
      <c r="N451" s="5"/>
    </row>
    <row r="452" spans="1:14" x14ac:dyDescent="0.35">
      <c r="A452" s="2">
        <v>451</v>
      </c>
      <c r="B452" s="2" t="s">
        <v>428</v>
      </c>
      <c r="C452" s="2" t="s">
        <v>883</v>
      </c>
      <c r="D452" s="2" t="s">
        <v>10</v>
      </c>
      <c r="E452" s="2">
        <v>135</v>
      </c>
      <c r="F452" s="2">
        <v>19.01293765432256</v>
      </c>
      <c r="G452" s="2">
        <v>-69.949939003269193</v>
      </c>
      <c r="H452" s="8" t="str">
        <f>HYPERLINK(CONCATENATE("https://faluhong.users.earthengine.app/view/hispaniola-lc-validation#id=PF451;lat=19.012937654322563;lon=-69.9499390032692;year=2000;bf=40;level=18;"), "landsat_time_series")</f>
        <v>landsat_time_series</v>
      </c>
      <c r="I452" s="8" t="str">
        <f>HYPERLINK(CONCATENATE("https://jstnbraaten.users.earthengine.app/view/landsat-timeseries-explorer#run=true;lon=-69.9499390032692;lat=19.012937654322563;from=01-01;to=12-31;index=NBR;rgb=NIR%2FRED%2FGREEN;chipwidth=1;"), "landsat_chips")</f>
        <v>landsat_chips</v>
      </c>
      <c r="J452" s="8" t="str">
        <f>HYPERLINK(CONCATENATE("https://livingatlas.arcgis.com/wayback/#ext=-69.9509390032692,19.013937654322564,-69.94893900326919,19.011937654322562"), "wayback")</f>
        <v>wayback</v>
      </c>
      <c r="K452" s="2" t="s">
        <v>422</v>
      </c>
      <c r="L452" s="5"/>
      <c r="M452" s="5" t="s">
        <v>422</v>
      </c>
      <c r="N452" s="5"/>
    </row>
    <row r="453" spans="1:14" x14ac:dyDescent="0.35">
      <c r="A453" s="2">
        <v>452</v>
      </c>
      <c r="B453" s="2" t="s">
        <v>428</v>
      </c>
      <c r="C453" s="2" t="s">
        <v>884</v>
      </c>
      <c r="D453" s="2" t="s">
        <v>10</v>
      </c>
      <c r="E453" s="2">
        <v>15</v>
      </c>
      <c r="F453" s="2">
        <v>19.131740961043221</v>
      </c>
      <c r="G453" s="2">
        <v>-69.87847134143918</v>
      </c>
      <c r="H453" s="8" t="str">
        <f>HYPERLINK(CONCATENATE("https://faluhong.users.earthengine.app/view/hispaniola-lc-validation#id=PF452;lat=19.131740961043217;lon=-69.87847134143918;year=2000;bf=40;level=18;"), "landsat_time_series")</f>
        <v>landsat_time_series</v>
      </c>
      <c r="I453" s="8" t="str">
        <f>HYPERLINK(CONCATENATE("https://jstnbraaten.users.earthengine.app/view/landsat-timeseries-explorer#run=true;lon=-69.87847134143918;lat=19.131740961043217;from=01-01;to=12-31;index=NBR;rgb=NIR%2FRED%2FGREEN;chipwidth=1;"), "landsat_chips")</f>
        <v>landsat_chips</v>
      </c>
      <c r="J453" s="8" t="str">
        <f>HYPERLINK(CONCATENATE("https://livingatlas.arcgis.com/wayback/#ext=-69.87947134143919,19.13274096104322,-69.87747134143918,19.130740961043216"), "wayback")</f>
        <v>wayback</v>
      </c>
      <c r="K453" s="2" t="s">
        <v>422</v>
      </c>
      <c r="L453" s="5"/>
      <c r="M453" s="5" t="s">
        <v>422</v>
      </c>
      <c r="N453" s="5"/>
    </row>
    <row r="454" spans="1:14" x14ac:dyDescent="0.35">
      <c r="A454" s="2">
        <v>453</v>
      </c>
      <c r="B454" s="2" t="s">
        <v>428</v>
      </c>
      <c r="C454" s="2" t="s">
        <v>885</v>
      </c>
      <c r="D454" s="2" t="s">
        <v>10</v>
      </c>
      <c r="E454" s="2">
        <v>1169</v>
      </c>
      <c r="F454" s="2">
        <v>18.083996278535729</v>
      </c>
      <c r="G454" s="2">
        <v>-71.533377359901863</v>
      </c>
      <c r="H454" s="8" t="str">
        <f>HYPERLINK(CONCATENATE("https://faluhong.users.earthengine.app/view/hispaniola-lc-validation#id=PF453;lat=18.08399627853573;lon=-71.53337735990186;year=2000;bf=40;level=18;"), "landsat_time_series")</f>
        <v>landsat_time_series</v>
      </c>
      <c r="I454" s="8" t="str">
        <f>HYPERLINK(CONCATENATE("https://jstnbraaten.users.earthengine.app/view/landsat-timeseries-explorer#run=true;lon=-71.53337735990186;lat=18.08399627853573;from=01-01;to=12-31;index=NBR;rgb=NIR%2FRED%2FGREEN;chipwidth=1;"), "landsat_chips")</f>
        <v>landsat_chips</v>
      </c>
      <c r="J454" s="8" t="str">
        <f>HYPERLINK(CONCATENATE("https://livingatlas.arcgis.com/wayback/#ext=-71.53437735990187,18.08499627853573,-71.53237735990186,18.082996278535727"), "wayback")</f>
        <v>wayback</v>
      </c>
      <c r="K454" s="2" t="s">
        <v>418</v>
      </c>
      <c r="L454" s="5"/>
      <c r="M454" s="5" t="s">
        <v>418</v>
      </c>
      <c r="N454" s="5" t="s">
        <v>419</v>
      </c>
    </row>
    <row r="455" spans="1:14" x14ac:dyDescent="0.35">
      <c r="A455" s="2">
        <v>454</v>
      </c>
      <c r="B455" s="2" t="s">
        <v>428</v>
      </c>
      <c r="C455" s="2" t="s">
        <v>886</v>
      </c>
      <c r="D455" s="2" t="s">
        <v>10</v>
      </c>
      <c r="E455" s="2">
        <v>609</v>
      </c>
      <c r="F455" s="2">
        <v>19.286989232191289</v>
      </c>
      <c r="G455" s="2">
        <v>-71.333527299095621</v>
      </c>
      <c r="H455" s="8" t="str">
        <f>HYPERLINK(CONCATENATE("https://faluhong.users.earthengine.app/view/hispaniola-lc-validation#id=PF454;lat=19.28698923219129;lon=-71.33352729909562;year=2000;bf=40;level=18;"), "landsat_time_series")</f>
        <v>landsat_time_series</v>
      </c>
      <c r="I455" s="8" t="str">
        <f>HYPERLINK(CONCATENATE("https://jstnbraaten.users.earthengine.app/view/landsat-timeseries-explorer#run=true;lon=-71.33352729909562;lat=19.28698923219129;from=01-01;to=12-31;index=NBR;rgb=NIR%2FRED%2FGREEN;chipwidth=1;"), "landsat_chips")</f>
        <v>landsat_chips</v>
      </c>
      <c r="J455" s="8" t="str">
        <f>HYPERLINK(CONCATENATE("https://livingatlas.arcgis.com/wayback/#ext=-71.33452729909563,19.28798923219129,-71.33252729909562,19.285989232191287"), "wayback")</f>
        <v>wayback</v>
      </c>
      <c r="K455" s="2" t="s">
        <v>422</v>
      </c>
      <c r="L455" s="5"/>
      <c r="M455" s="5" t="s">
        <v>422</v>
      </c>
      <c r="N455" s="5"/>
    </row>
    <row r="456" spans="1:14" x14ac:dyDescent="0.35">
      <c r="A456" s="2">
        <v>455</v>
      </c>
      <c r="B456" s="2" t="s">
        <v>428</v>
      </c>
      <c r="C456" s="2" t="s">
        <v>887</v>
      </c>
      <c r="D456" s="2" t="s">
        <v>10</v>
      </c>
      <c r="E456" s="2">
        <v>79</v>
      </c>
      <c r="F456" s="2">
        <v>19.71229424229713</v>
      </c>
      <c r="G456" s="2">
        <v>-71.362826091268275</v>
      </c>
      <c r="H456" s="8" t="str">
        <f>HYPERLINK(CONCATENATE("https://faluhong.users.earthengine.app/view/hispaniola-lc-validation#id=PF455;lat=19.712294242297126;lon=-71.36282609126827;year=2000;bf=40;level=18;"), "landsat_time_series")</f>
        <v>landsat_time_series</v>
      </c>
      <c r="I456" s="8" t="str">
        <f>HYPERLINK(CONCATENATE("https://jstnbraaten.users.earthengine.app/view/landsat-timeseries-explorer#run=true;lon=-71.36282609126827;lat=19.712294242297126;from=01-01;to=12-31;index=NBR;rgb=NIR%2FRED%2FGREEN;chipwidth=1;"), "landsat_chips")</f>
        <v>landsat_chips</v>
      </c>
      <c r="J456" s="8" t="str">
        <f>HYPERLINK(CONCATENATE("https://livingatlas.arcgis.com/wayback/#ext=-71.36382609126828,19.713294242297128,-71.36182609126827,19.711294242297125"), "wayback")</f>
        <v>wayback</v>
      </c>
      <c r="K456" s="2" t="s">
        <v>422</v>
      </c>
      <c r="L456" s="5"/>
      <c r="M456" s="5" t="s">
        <v>422</v>
      </c>
      <c r="N456" s="5"/>
    </row>
    <row r="457" spans="1:14" x14ac:dyDescent="0.35">
      <c r="A457" s="2">
        <v>456</v>
      </c>
      <c r="B457" s="2" t="s">
        <v>428</v>
      </c>
      <c r="C457" s="2" t="s">
        <v>888</v>
      </c>
      <c r="D457" s="2" t="s">
        <v>20</v>
      </c>
      <c r="E457" s="2">
        <v>90</v>
      </c>
      <c r="F457" s="2">
        <v>18.389326793818778</v>
      </c>
      <c r="G457" s="2">
        <v>-73.035560701393834</v>
      </c>
      <c r="H457" s="8" t="str">
        <f>HYPERLINK(CONCATENATE("https://faluhong.users.earthengine.app/view/hispaniola-lc-validation#id=PF456;lat=18.38932679381878;lon=-73.03556070139383;year=2000;bf=40;level=18;"), "landsat_time_series")</f>
        <v>landsat_time_series</v>
      </c>
      <c r="I457" s="8" t="str">
        <f>HYPERLINK(CONCATENATE("https://jstnbraaten.users.earthengine.app/view/landsat-timeseries-explorer#run=true;lon=-73.03556070139383;lat=18.38932679381878;from=01-01;to=12-31;index=NBR;rgb=NIR%2FRED%2FGREEN;chipwidth=1;"), "landsat_chips")</f>
        <v>landsat_chips</v>
      </c>
      <c r="J457" s="8" t="str">
        <f>HYPERLINK(CONCATENATE("https://livingatlas.arcgis.com/wayback/#ext=-73.03656070139384,18.39032679381878,-73.03456070139383,18.388326793818777"), "wayback")</f>
        <v>wayback</v>
      </c>
      <c r="K457" s="2" t="s">
        <v>422</v>
      </c>
      <c r="L457" s="5"/>
      <c r="M457" s="5" t="s">
        <v>422</v>
      </c>
      <c r="N457" s="5"/>
    </row>
    <row r="458" spans="1:14" x14ac:dyDescent="0.35">
      <c r="A458" s="2">
        <v>457</v>
      </c>
      <c r="B458" s="2" t="s">
        <v>428</v>
      </c>
      <c r="C458" s="2" t="s">
        <v>889</v>
      </c>
      <c r="D458" s="2" t="s">
        <v>10</v>
      </c>
      <c r="E458" s="2">
        <v>61</v>
      </c>
      <c r="F458" s="2">
        <v>18.449058530947291</v>
      </c>
      <c r="G458" s="2">
        <v>-68.822218471959175</v>
      </c>
      <c r="H458" s="8" t="str">
        <f>HYPERLINK(CONCATENATE("https://faluhong.users.earthengine.app/view/hispaniola-lc-validation#id=PF457;lat=18.449058530947294;lon=-68.82221847195918;year=2000;bf=40;level=18;"), "landsat_time_series")</f>
        <v>landsat_time_series</v>
      </c>
      <c r="I458" s="8" t="str">
        <f>HYPERLINK(CONCATENATE("https://jstnbraaten.users.earthengine.app/view/landsat-timeseries-explorer#run=true;lon=-68.82221847195918;lat=18.449058530947294;from=01-01;to=12-31;index=NBR;rgb=NIR%2FRED%2FGREEN;chipwidth=1;"), "landsat_chips")</f>
        <v>landsat_chips</v>
      </c>
      <c r="J458" s="8" t="str">
        <f>HYPERLINK(CONCATENATE("https://livingatlas.arcgis.com/wayback/#ext=-68.82321847195918,18.450058530947295,-68.82121847195917,18.448058530947293"), "wayback")</f>
        <v>wayback</v>
      </c>
      <c r="K458" s="2" t="s">
        <v>422</v>
      </c>
      <c r="L458" s="5"/>
      <c r="M458" s="5" t="s">
        <v>422</v>
      </c>
      <c r="N458" s="5"/>
    </row>
    <row r="459" spans="1:14" x14ac:dyDescent="0.35">
      <c r="A459" s="2">
        <v>458</v>
      </c>
      <c r="B459" s="2" t="s">
        <v>428</v>
      </c>
      <c r="C459" s="2" t="s">
        <v>890</v>
      </c>
      <c r="D459" s="2" t="s">
        <v>10</v>
      </c>
      <c r="E459" s="2">
        <v>201</v>
      </c>
      <c r="F459" s="2">
        <v>18.83277015150847</v>
      </c>
      <c r="G459" s="2">
        <v>-70.178368077750761</v>
      </c>
      <c r="H459" s="8" t="str">
        <f>HYPERLINK(CONCATENATE("https://faluhong.users.earthengine.app/view/hispaniola-lc-validation#id=PF458;lat=18.832770151508473;lon=-70.17836807775076;year=2000;bf=40;level=18;"), "landsat_time_series")</f>
        <v>landsat_time_series</v>
      </c>
      <c r="I459" s="8" t="str">
        <f>HYPERLINK(CONCATENATE("https://jstnbraaten.users.earthengine.app/view/landsat-timeseries-explorer#run=true;lon=-70.17836807775076;lat=18.832770151508473;from=01-01;to=12-31;index=NBR;rgb=NIR%2FRED%2FGREEN;chipwidth=1;"), "landsat_chips")</f>
        <v>landsat_chips</v>
      </c>
      <c r="J459" s="8" t="str">
        <f>HYPERLINK(CONCATENATE("https://livingatlas.arcgis.com/wayback/#ext=-70.17936807775077,18.833770151508475,-70.17736807775076,18.831770151508472"), "wayback")</f>
        <v>wayback</v>
      </c>
      <c r="K459" s="2" t="s">
        <v>422</v>
      </c>
      <c r="L459" s="5"/>
      <c r="M459" s="5" t="s">
        <v>422</v>
      </c>
      <c r="N459" s="5"/>
    </row>
    <row r="460" spans="1:14" x14ac:dyDescent="0.35">
      <c r="A460" s="2">
        <v>459</v>
      </c>
      <c r="B460" s="2" t="s">
        <v>428</v>
      </c>
      <c r="C460" s="2" t="s">
        <v>891</v>
      </c>
      <c r="D460" s="2" t="s">
        <v>10</v>
      </c>
      <c r="E460" s="2">
        <v>87</v>
      </c>
      <c r="F460" s="2">
        <v>19.722814005027299</v>
      </c>
      <c r="G460" s="2">
        <v>-71.294079912013046</v>
      </c>
      <c r="H460" s="8" t="str">
        <f>HYPERLINK(CONCATENATE("https://faluhong.users.earthengine.app/view/hispaniola-lc-validation#id=PF459;lat=19.722814005027296;lon=-71.29407991201305;year=2000;bf=40;level=18;"), "landsat_time_series")</f>
        <v>landsat_time_series</v>
      </c>
      <c r="I460" s="8" t="str">
        <f>HYPERLINK(CONCATENATE("https://jstnbraaten.users.earthengine.app/view/landsat-timeseries-explorer#run=true;lon=-71.29407991201305;lat=19.722814005027296;from=01-01;to=12-31;index=NBR;rgb=NIR%2FRED%2FGREEN;chipwidth=1;"), "landsat_chips")</f>
        <v>landsat_chips</v>
      </c>
      <c r="J460" s="8" t="str">
        <f>HYPERLINK(CONCATENATE("https://livingatlas.arcgis.com/wayback/#ext=-71.29507991201305,19.723814005027297,-71.29307991201304,19.721814005027294"), "wayback")</f>
        <v>wayback</v>
      </c>
      <c r="K460" s="2" t="s">
        <v>422</v>
      </c>
      <c r="L460" s="5"/>
      <c r="M460" s="5" t="s">
        <v>422</v>
      </c>
      <c r="N460" s="5"/>
    </row>
    <row r="461" spans="1:14" x14ac:dyDescent="0.35">
      <c r="A461" s="2">
        <v>460</v>
      </c>
      <c r="B461" s="2" t="s">
        <v>428</v>
      </c>
      <c r="C461" s="2" t="s">
        <v>892</v>
      </c>
      <c r="D461" s="2" t="s">
        <v>20</v>
      </c>
      <c r="E461" s="2">
        <v>340</v>
      </c>
      <c r="F461" s="2">
        <v>19.286042271638362</v>
      </c>
      <c r="G461" s="2">
        <v>-72.09315901042514</v>
      </c>
      <c r="H461" s="8" t="str">
        <f>HYPERLINK(CONCATENATE("https://faluhong.users.earthengine.app/view/hispaniola-lc-validation#id=PF460;lat=19.286042271638358;lon=-72.09315901042514;year=2000;bf=40;level=18;"), "landsat_time_series")</f>
        <v>landsat_time_series</v>
      </c>
      <c r="I461" s="8" t="str">
        <f>HYPERLINK(CONCATENATE("https://jstnbraaten.users.earthengine.app/view/landsat-timeseries-explorer#run=true;lon=-72.09315901042514;lat=19.286042271638358;from=01-01;to=12-31;index=NBR;rgb=NIR%2FRED%2FGREEN;chipwidth=1;"), "landsat_chips")</f>
        <v>landsat_chips</v>
      </c>
      <c r="J461" s="8" t="str">
        <f>HYPERLINK(CONCATENATE("https://livingatlas.arcgis.com/wayback/#ext=-72.09415901042514,19.28704227163836,-72.09215901042514,19.285042271638357"), "wayback")</f>
        <v>wayback</v>
      </c>
      <c r="K461" s="2" t="s">
        <v>422</v>
      </c>
      <c r="L461" s="5"/>
      <c r="M461" s="5" t="s">
        <v>422</v>
      </c>
      <c r="N461" s="5"/>
    </row>
    <row r="462" spans="1:14" x14ac:dyDescent="0.35">
      <c r="A462" s="2">
        <v>461</v>
      </c>
      <c r="B462" s="2" t="s">
        <v>428</v>
      </c>
      <c r="C462" s="2" t="s">
        <v>893</v>
      </c>
      <c r="D462" s="2" t="s">
        <v>10</v>
      </c>
      <c r="E462" s="2">
        <v>62</v>
      </c>
      <c r="F462" s="2">
        <v>19.196963441193908</v>
      </c>
      <c r="G462" s="2">
        <v>-70.359131406663735</v>
      </c>
      <c r="H462" s="8" t="str">
        <f>HYPERLINK(CONCATENATE("https://faluhong.users.earthengine.app/view/hispaniola-lc-validation#id=PF461;lat=19.196963441193912;lon=-70.35913140666374;year=2000;bf=40;level=18;"), "landsat_time_series")</f>
        <v>landsat_time_series</v>
      </c>
      <c r="I462" s="8" t="str">
        <f>HYPERLINK(CONCATENATE("https://jstnbraaten.users.earthengine.app/view/landsat-timeseries-explorer#run=true;lon=-70.35913140666374;lat=19.196963441193912;from=01-01;to=12-31;index=NBR;rgb=NIR%2FRED%2FGREEN;chipwidth=1;"), "landsat_chips")</f>
        <v>landsat_chips</v>
      </c>
      <c r="J462" s="8" t="str">
        <f>HYPERLINK(CONCATENATE("https://livingatlas.arcgis.com/wayback/#ext=-70.36013140666374,19.197963441193913,-70.35813140666373,19.19596344119391"), "wayback")</f>
        <v>wayback</v>
      </c>
      <c r="K462" s="2" t="s">
        <v>422</v>
      </c>
      <c r="L462" s="5"/>
      <c r="M462" s="5" t="s">
        <v>422</v>
      </c>
      <c r="N462" s="5"/>
    </row>
    <row r="463" spans="1:14" x14ac:dyDescent="0.35">
      <c r="A463" s="2">
        <v>462</v>
      </c>
      <c r="B463" s="2" t="s">
        <v>428</v>
      </c>
      <c r="C463" s="2" t="s">
        <v>894</v>
      </c>
      <c r="D463" s="2" t="s">
        <v>20</v>
      </c>
      <c r="E463" s="2">
        <v>300</v>
      </c>
      <c r="F463" s="2">
        <v>18.35091054350184</v>
      </c>
      <c r="G463" s="2">
        <v>-73.231087541537789</v>
      </c>
      <c r="H463" s="8" t="str">
        <f>HYPERLINK(CONCATENATE("https://faluhong.users.earthengine.app/view/hispaniola-lc-validation#id=PF462;lat=18.350910543501836;lon=-73.23108754153779;year=2000;bf=40;level=18;"), "landsat_time_series")</f>
        <v>landsat_time_series</v>
      </c>
      <c r="I463" s="8" t="str">
        <f>HYPERLINK(CONCATENATE("https://jstnbraaten.users.earthengine.app/view/landsat-timeseries-explorer#run=true;lon=-73.23108754153779;lat=18.350910543501836;from=01-01;to=12-31;index=NBR;rgb=NIR%2FRED%2FGREEN;chipwidth=1;"), "landsat_chips")</f>
        <v>landsat_chips</v>
      </c>
      <c r="J463" s="8" t="str">
        <f>HYPERLINK(CONCATENATE("https://livingatlas.arcgis.com/wayback/#ext=-73.2320875415378,18.351910543501837,-73.23008754153778,18.349910543501835"), "wayback")</f>
        <v>wayback</v>
      </c>
      <c r="K463" s="2" t="s">
        <v>422</v>
      </c>
      <c r="L463" s="5"/>
      <c r="M463" s="5" t="s">
        <v>422</v>
      </c>
      <c r="N463" s="5"/>
    </row>
    <row r="464" spans="1:14" x14ac:dyDescent="0.35">
      <c r="A464" s="2">
        <v>463</v>
      </c>
      <c r="B464" s="2" t="s">
        <v>428</v>
      </c>
      <c r="C464" s="2" t="s">
        <v>895</v>
      </c>
      <c r="D464" s="2" t="s">
        <v>10</v>
      </c>
      <c r="E464" s="2">
        <v>1524</v>
      </c>
      <c r="F464" s="2">
        <v>19.17422864195045</v>
      </c>
      <c r="G464" s="2">
        <v>-71.27796980479539</v>
      </c>
      <c r="H464" s="8" t="str">
        <f>HYPERLINK(CONCATENATE("https://faluhong.users.earthengine.app/view/hispaniola-lc-validation#id=PF463;lat=19.174228641950453;lon=-71.27796980479539;year=2000;bf=40;level=18;"), "landsat_time_series")</f>
        <v>landsat_time_series</v>
      </c>
      <c r="I464" s="8" t="str">
        <f>HYPERLINK(CONCATENATE("https://jstnbraaten.users.earthengine.app/view/landsat-timeseries-explorer#run=true;lon=-71.27796980479539;lat=19.174228641950453;from=01-01;to=12-31;index=NBR;rgb=NIR%2FRED%2FGREEN;chipwidth=1;"), "landsat_chips")</f>
        <v>landsat_chips</v>
      </c>
      <c r="J464" s="8" t="str">
        <f>HYPERLINK(CONCATENATE("https://livingatlas.arcgis.com/wayback/#ext=-71.2789698047954,19.175228641950454,-71.27696980479539,19.173228641950452"), "wayback")</f>
        <v>wayback</v>
      </c>
      <c r="K464" s="2" t="s">
        <v>422</v>
      </c>
      <c r="L464" s="5"/>
      <c r="M464" s="5" t="s">
        <v>422</v>
      </c>
      <c r="N464" s="5"/>
    </row>
    <row r="465" spans="1:14" x14ac:dyDescent="0.35">
      <c r="A465" s="2">
        <v>464</v>
      </c>
      <c r="B465" s="2" t="s">
        <v>428</v>
      </c>
      <c r="C465" s="2" t="s">
        <v>896</v>
      </c>
      <c r="D465" s="2" t="s">
        <v>10</v>
      </c>
      <c r="E465" s="2">
        <v>1479</v>
      </c>
      <c r="F465" s="2">
        <v>19.116236070136701</v>
      </c>
      <c r="G465" s="2">
        <v>-71.017052507983138</v>
      </c>
      <c r="H465" s="8" t="str">
        <f>HYPERLINK(CONCATENATE("https://faluhong.users.earthengine.app/view/hispaniola-lc-validation#id=PF464;lat=19.116236070136704;lon=-71.01705250798314;year=2000;bf=40;level=18;"), "landsat_time_series")</f>
        <v>landsat_time_series</v>
      </c>
      <c r="I465" s="8" t="str">
        <f>HYPERLINK(CONCATENATE("https://jstnbraaten.users.earthengine.app/view/landsat-timeseries-explorer#run=true;lon=-71.01705250798314;lat=19.116236070136704;from=01-01;to=12-31;index=NBR;rgb=NIR%2FRED%2FGREEN;chipwidth=1;"), "landsat_chips")</f>
        <v>landsat_chips</v>
      </c>
      <c r="J465" s="8" t="str">
        <f>HYPERLINK(CONCATENATE("https://livingatlas.arcgis.com/wayback/#ext=-71.01805250798314,19.117236070136705,-71.01605250798313,19.115236070136703"), "wayback")</f>
        <v>wayback</v>
      </c>
      <c r="K465" s="2" t="s">
        <v>422</v>
      </c>
      <c r="L465" s="5"/>
      <c r="M465" s="5" t="s">
        <v>422</v>
      </c>
      <c r="N465" s="5"/>
    </row>
    <row r="466" spans="1:14" x14ac:dyDescent="0.35">
      <c r="A466" s="2">
        <v>465</v>
      </c>
      <c r="B466" s="2" t="s">
        <v>428</v>
      </c>
      <c r="C466" s="2" t="s">
        <v>897</v>
      </c>
      <c r="D466" s="2" t="s">
        <v>10</v>
      </c>
      <c r="E466" s="2">
        <v>188</v>
      </c>
      <c r="F466" s="2">
        <v>19.421847617810961</v>
      </c>
      <c r="G466" s="2">
        <v>-70.958554476823537</v>
      </c>
      <c r="H466" s="8" t="str">
        <f>HYPERLINK(CONCATENATE("https://faluhong.users.earthengine.app/view/hispaniola-lc-validation#id=PF465;lat=19.42184761781096;lon=-70.95855447682354;year=2000;bf=40;level=18;"), "landsat_time_series")</f>
        <v>landsat_time_series</v>
      </c>
      <c r="I466" s="8" t="str">
        <f>HYPERLINK(CONCATENATE("https://jstnbraaten.users.earthengine.app/view/landsat-timeseries-explorer#run=true;lon=-70.95855447682354;lat=19.42184761781096;from=01-01;to=12-31;index=NBR;rgb=NIR%2FRED%2FGREEN;chipwidth=1;"), "landsat_chips")</f>
        <v>landsat_chips</v>
      </c>
      <c r="J466" s="8" t="str">
        <f>HYPERLINK(CONCATENATE("https://livingatlas.arcgis.com/wayback/#ext=-70.95955447682354,19.422847617810962,-70.95755447682353,19.42084761781096"), "wayback")</f>
        <v>wayback</v>
      </c>
      <c r="K466" s="2" t="s">
        <v>422</v>
      </c>
      <c r="L466" s="5"/>
      <c r="M466" s="5" t="s">
        <v>422</v>
      </c>
      <c r="N466" s="5"/>
    </row>
    <row r="467" spans="1:14" x14ac:dyDescent="0.35">
      <c r="A467" s="2">
        <v>466</v>
      </c>
      <c r="B467" s="2" t="s">
        <v>428</v>
      </c>
      <c r="C467" s="2" t="s">
        <v>898</v>
      </c>
      <c r="D467" s="2" t="s">
        <v>10</v>
      </c>
      <c r="E467" s="2">
        <v>38</v>
      </c>
      <c r="F467" s="2">
        <v>18.72940485022815</v>
      </c>
      <c r="G467" s="2">
        <v>-69.816319427314724</v>
      </c>
      <c r="H467" s="8" t="str">
        <f>HYPERLINK(CONCATENATE("https://faluhong.users.earthengine.app/view/hispaniola-lc-validation#id=PF466;lat=18.729404850228153;lon=-69.81631942731472;year=2000;bf=40;level=18;"), "landsat_time_series")</f>
        <v>landsat_time_series</v>
      </c>
      <c r="I467" s="8" t="str">
        <f>HYPERLINK(CONCATENATE("https://jstnbraaten.users.earthengine.app/view/landsat-timeseries-explorer#run=true;lon=-69.81631942731472;lat=18.729404850228153;from=01-01;to=12-31;index=NBR;rgb=NIR%2FRED%2FGREEN;chipwidth=1;"), "landsat_chips")</f>
        <v>landsat_chips</v>
      </c>
      <c r="J467" s="8" t="str">
        <f>HYPERLINK(CONCATENATE("https://livingatlas.arcgis.com/wayback/#ext=-69.81731942731473,18.730404850228155,-69.81531942731472,18.728404850228152"), "wayback")</f>
        <v>wayback</v>
      </c>
      <c r="K467" s="2" t="s">
        <v>422</v>
      </c>
      <c r="L467" s="5"/>
      <c r="M467" s="5" t="s">
        <v>422</v>
      </c>
      <c r="N467" s="5"/>
    </row>
    <row r="468" spans="1:14" x14ac:dyDescent="0.35">
      <c r="A468" s="2">
        <v>467</v>
      </c>
      <c r="B468" s="2" t="s">
        <v>428</v>
      </c>
      <c r="C468" s="2" t="s">
        <v>899</v>
      </c>
      <c r="D468" s="2" t="s">
        <v>10</v>
      </c>
      <c r="E468" s="2">
        <v>8</v>
      </c>
      <c r="F468" s="2">
        <v>19.686142546517619</v>
      </c>
      <c r="G468" s="2">
        <v>-70.387721350560909</v>
      </c>
      <c r="H468" s="8" t="str">
        <f>HYPERLINK(CONCATENATE("https://faluhong.users.earthengine.app/view/hispaniola-lc-validation#id=PF467;lat=19.686142546517623;lon=-70.38772135056091;year=2000;bf=40;level=18;"), "landsat_time_series")</f>
        <v>landsat_time_series</v>
      </c>
      <c r="I468" s="8" t="str">
        <f>HYPERLINK(CONCATENATE("https://jstnbraaten.users.earthengine.app/view/landsat-timeseries-explorer#run=true;lon=-70.38772135056091;lat=19.686142546517623;from=01-01;to=12-31;index=NBR;rgb=NIR%2FRED%2FGREEN;chipwidth=1;"), "landsat_chips")</f>
        <v>landsat_chips</v>
      </c>
      <c r="J468" s="8" t="str">
        <f>HYPERLINK(CONCATENATE("https://livingatlas.arcgis.com/wayback/#ext=-70.38872135056091,19.687142546517624,-70.3867213505609,19.68514254651762"), "wayback")</f>
        <v>wayback</v>
      </c>
      <c r="K468" s="2" t="s">
        <v>422</v>
      </c>
      <c r="L468" s="5"/>
      <c r="M468" s="5" t="s">
        <v>422</v>
      </c>
      <c r="N468" s="5"/>
    </row>
    <row r="469" spans="1:14" x14ac:dyDescent="0.35">
      <c r="A469" s="2">
        <v>468</v>
      </c>
      <c r="B469" s="2" t="s">
        <v>428</v>
      </c>
      <c r="C469" s="2" t="s">
        <v>900</v>
      </c>
      <c r="D469" s="2" t="s">
        <v>20</v>
      </c>
      <c r="E469" s="2">
        <v>377</v>
      </c>
      <c r="F469" s="2">
        <v>18.254321696454721</v>
      </c>
      <c r="G469" s="2">
        <v>-72.859669973417738</v>
      </c>
      <c r="H469" s="8" t="str">
        <f>HYPERLINK(CONCATENATE("https://faluhong.users.earthengine.app/view/hispaniola-lc-validation#id=PF468;lat=18.254321696454717;lon=-72.85966997341774;year=2000;bf=40;level=18;"), "landsat_time_series")</f>
        <v>landsat_time_series</v>
      </c>
      <c r="I469" s="8" t="str">
        <f>HYPERLINK(CONCATENATE("https://jstnbraaten.users.earthengine.app/view/landsat-timeseries-explorer#run=true;lon=-72.85966997341774;lat=18.254321696454717;from=01-01;to=12-31;index=NBR;rgb=NIR%2FRED%2FGREEN;chipwidth=1;"), "landsat_chips")</f>
        <v>landsat_chips</v>
      </c>
      <c r="J469" s="8" t="str">
        <f>HYPERLINK(CONCATENATE("https://livingatlas.arcgis.com/wayback/#ext=-72.86066997341774,18.25532169645472,-72.85866997341773,18.253321696454716"), "wayback")</f>
        <v>wayback</v>
      </c>
      <c r="K469" s="2" t="s">
        <v>422</v>
      </c>
      <c r="L469" s="5"/>
      <c r="M469" s="5" t="s">
        <v>422</v>
      </c>
      <c r="N469" s="5"/>
    </row>
    <row r="470" spans="1:14" x14ac:dyDescent="0.35">
      <c r="A470" s="2">
        <v>469</v>
      </c>
      <c r="B470" s="2" t="s">
        <v>428</v>
      </c>
      <c r="C470" s="2" t="s">
        <v>901</v>
      </c>
      <c r="D470" s="2" t="s">
        <v>20</v>
      </c>
      <c r="E470" s="2">
        <v>311</v>
      </c>
      <c r="F470" s="2">
        <v>18.396246142173059</v>
      </c>
      <c r="G470" s="2">
        <v>-72.898677391236305</v>
      </c>
      <c r="H470" s="8" t="str">
        <f>HYPERLINK(CONCATENATE("https://faluhong.users.earthengine.app/view/hispaniola-lc-validation#id=PF469;lat=18.396246142173062;lon=-72.8986773912363;year=2000;bf=40;level=18;"), "landsat_time_series")</f>
        <v>landsat_time_series</v>
      </c>
      <c r="I470" s="8" t="str">
        <f>HYPERLINK(CONCATENATE("https://jstnbraaten.users.earthengine.app/view/landsat-timeseries-explorer#run=true;lon=-72.8986773912363;lat=18.396246142173062;from=01-01;to=12-31;index=NBR;rgb=NIR%2FRED%2FGREEN;chipwidth=1;"), "landsat_chips")</f>
        <v>landsat_chips</v>
      </c>
      <c r="J470" s="8" t="str">
        <f>HYPERLINK(CONCATENATE("https://livingatlas.arcgis.com/wayback/#ext=-72.89967739123631,18.397246142173064,-72.8976773912363,18.39524614217306"), "wayback")</f>
        <v>wayback</v>
      </c>
      <c r="K470" s="2" t="s">
        <v>422</v>
      </c>
      <c r="L470" s="5"/>
      <c r="M470" s="5" t="s">
        <v>422</v>
      </c>
      <c r="N470" s="5"/>
    </row>
    <row r="471" spans="1:14" x14ac:dyDescent="0.35">
      <c r="A471" s="2">
        <v>470</v>
      </c>
      <c r="B471" s="2" t="s">
        <v>428</v>
      </c>
      <c r="C471" s="2" t="s">
        <v>902</v>
      </c>
      <c r="D471" s="2" t="s">
        <v>10</v>
      </c>
      <c r="E471" s="2">
        <v>54</v>
      </c>
      <c r="F471" s="2">
        <v>19.21082237863121</v>
      </c>
      <c r="G471" s="2">
        <v>-70.14956255546015</v>
      </c>
      <c r="H471" s="8" t="str">
        <f>HYPERLINK(CONCATENATE("https://faluhong.users.earthengine.app/view/hispaniola-lc-validation#id=PF470;lat=19.21082237863121;lon=-70.14956255546015;year=2000;bf=40;level=18;"), "landsat_time_series")</f>
        <v>landsat_time_series</v>
      </c>
      <c r="I471" s="8" t="str">
        <f>HYPERLINK(CONCATENATE("https://jstnbraaten.users.earthengine.app/view/landsat-timeseries-explorer#run=true;lon=-70.14956255546015;lat=19.21082237863121;from=01-01;to=12-31;index=NBR;rgb=NIR%2FRED%2FGREEN;chipwidth=1;"), "landsat_chips")</f>
        <v>landsat_chips</v>
      </c>
      <c r="J471" s="8" t="str">
        <f>HYPERLINK(CONCATENATE("https://livingatlas.arcgis.com/wayback/#ext=-70.15056255546016,19.21182237863121,-70.14856255546015,19.20982237863121"), "wayback")</f>
        <v>wayback</v>
      </c>
      <c r="K471" s="2" t="s">
        <v>422</v>
      </c>
      <c r="L471" s="5"/>
      <c r="M471" s="5" t="s">
        <v>422</v>
      </c>
      <c r="N471" s="5"/>
    </row>
    <row r="472" spans="1:14" x14ac:dyDescent="0.35">
      <c r="A472" s="2">
        <v>471</v>
      </c>
      <c r="B472" s="2" t="s">
        <v>428</v>
      </c>
      <c r="C472" s="2" t="s">
        <v>903</v>
      </c>
      <c r="D472" s="2" t="s">
        <v>20</v>
      </c>
      <c r="E472" s="2">
        <v>424</v>
      </c>
      <c r="F472" s="2">
        <v>18.325252944066499</v>
      </c>
      <c r="G472" s="2">
        <v>-73.009238151123853</v>
      </c>
      <c r="H472" s="8" t="str">
        <f>HYPERLINK(CONCATENATE("https://faluhong.users.earthengine.app/view/hispaniola-lc-validation#id=PF471;lat=18.3252529440665;lon=-73.00923815112385;year=2000;bf=40;level=18;"), "landsat_time_series")</f>
        <v>landsat_time_series</v>
      </c>
      <c r="I472" s="8" t="str">
        <f>HYPERLINK(CONCATENATE("https://jstnbraaten.users.earthengine.app/view/landsat-timeseries-explorer#run=true;lon=-73.00923815112385;lat=18.3252529440665;from=01-01;to=12-31;index=NBR;rgb=NIR%2FRED%2FGREEN;chipwidth=1;"), "landsat_chips")</f>
        <v>landsat_chips</v>
      </c>
      <c r="J472" s="8" t="str">
        <f>HYPERLINK(CONCATENATE("https://livingatlas.arcgis.com/wayback/#ext=-73.01023815112386,18.3262529440665,-73.00823815112385,18.324252944066497"), "wayback")</f>
        <v>wayback</v>
      </c>
      <c r="K472" s="2" t="s">
        <v>422</v>
      </c>
      <c r="L472" s="5"/>
      <c r="M472" s="5" t="s">
        <v>422</v>
      </c>
      <c r="N472" s="5"/>
    </row>
    <row r="473" spans="1:14" x14ac:dyDescent="0.35">
      <c r="A473" s="2">
        <v>472</v>
      </c>
      <c r="B473" s="2" t="s">
        <v>428</v>
      </c>
      <c r="C473" s="2" t="s">
        <v>904</v>
      </c>
      <c r="D473" s="2" t="s">
        <v>10</v>
      </c>
      <c r="E473" s="2">
        <v>77</v>
      </c>
      <c r="F473" s="2">
        <v>18.46919912920546</v>
      </c>
      <c r="G473" s="2">
        <v>-68.843271675292542</v>
      </c>
      <c r="H473" s="8" t="str">
        <f>HYPERLINK(CONCATENATE("https://faluhong.users.earthengine.app/view/hispaniola-lc-validation#id=PF472;lat=18.469199129205457;lon=-68.84327167529254;year=2000;bf=40;level=18;"), "landsat_time_series")</f>
        <v>landsat_time_series</v>
      </c>
      <c r="I473" s="8" t="str">
        <f>HYPERLINK(CONCATENATE("https://jstnbraaten.users.earthengine.app/view/landsat-timeseries-explorer#run=true;lon=-68.84327167529254;lat=18.469199129205457;from=01-01;to=12-31;index=NBR;rgb=NIR%2FRED%2FGREEN;chipwidth=1;"), "landsat_chips")</f>
        <v>landsat_chips</v>
      </c>
      <c r="J473" s="8" t="str">
        <f>HYPERLINK(CONCATENATE("https://livingatlas.arcgis.com/wayback/#ext=-68.84427167529255,18.470199129205458,-68.84227167529254,18.468199129205455"), "wayback")</f>
        <v>wayback</v>
      </c>
      <c r="K473" s="2" t="s">
        <v>422</v>
      </c>
      <c r="L473" s="5"/>
      <c r="M473" s="5" t="s">
        <v>422</v>
      </c>
      <c r="N473" s="5"/>
    </row>
    <row r="474" spans="1:14" x14ac:dyDescent="0.35">
      <c r="A474" s="2">
        <v>473</v>
      </c>
      <c r="B474" s="2" t="s">
        <v>428</v>
      </c>
      <c r="C474" s="2" t="s">
        <v>905</v>
      </c>
      <c r="D474" s="2" t="s">
        <v>20</v>
      </c>
      <c r="E474" s="2">
        <v>241</v>
      </c>
      <c r="F474" s="2">
        <v>18.8746743970834</v>
      </c>
      <c r="G474" s="2">
        <v>-71.830311205454507</v>
      </c>
      <c r="H474" s="8" t="str">
        <f>HYPERLINK(CONCATENATE("https://faluhong.users.earthengine.app/view/hispaniola-lc-validation#id=PF473;lat=18.874674397083403;lon=-71.8303112054545;year=2000;bf=40;level=18;"), "landsat_time_series")</f>
        <v>landsat_time_series</v>
      </c>
      <c r="I474" s="8" t="str">
        <f>HYPERLINK(CONCATENATE("https://jstnbraaten.users.earthengine.app/view/landsat-timeseries-explorer#run=true;lon=-71.8303112054545;lat=18.874674397083403;from=01-01;to=12-31;index=NBR;rgb=NIR%2FRED%2FGREEN;chipwidth=1;"), "landsat_chips")</f>
        <v>landsat_chips</v>
      </c>
      <c r="J474" s="8" t="str">
        <f>HYPERLINK(CONCATENATE("https://livingatlas.arcgis.com/wayback/#ext=-71.83131120545451,18.875674397083404,-71.8293112054545,18.873674397083402"), "wayback")</f>
        <v>wayback</v>
      </c>
      <c r="K474" s="2" t="s">
        <v>422</v>
      </c>
      <c r="L474" s="5"/>
      <c r="M474" s="5" t="s">
        <v>422</v>
      </c>
      <c r="N474" s="5"/>
    </row>
    <row r="475" spans="1:14" x14ac:dyDescent="0.35">
      <c r="A475" s="2">
        <v>474</v>
      </c>
      <c r="B475" s="2" t="s">
        <v>428</v>
      </c>
      <c r="C475" s="2" t="s">
        <v>906</v>
      </c>
      <c r="D475" s="2" t="s">
        <v>10</v>
      </c>
      <c r="E475" s="2">
        <v>2554</v>
      </c>
      <c r="F475" s="2">
        <v>19.029047222559939</v>
      </c>
      <c r="G475" s="2">
        <v>-71.049767936897197</v>
      </c>
      <c r="H475" s="8" t="str">
        <f>HYPERLINK(CONCATENATE("https://faluhong.users.earthengine.app/view/hispaniola-lc-validation#id=PF474;lat=19.02904722255994;lon=-71.0497679368972;year=2000;bf=40;level=18;"), "landsat_time_series")</f>
        <v>landsat_time_series</v>
      </c>
      <c r="I475" s="8" t="str">
        <f>HYPERLINK(CONCATENATE("https://jstnbraaten.users.earthengine.app/view/landsat-timeseries-explorer#run=true;lon=-71.0497679368972;lat=19.02904722255994;from=01-01;to=12-31;index=NBR;rgb=NIR%2FRED%2FGREEN;chipwidth=1;"), "landsat_chips")</f>
        <v>landsat_chips</v>
      </c>
      <c r="J475" s="8" t="str">
        <f>HYPERLINK(CONCATENATE("https://livingatlas.arcgis.com/wayback/#ext=-71.0507679368972,19.03004722255994,-71.04876793689719,19.028047222559938"), "wayback")</f>
        <v>wayback</v>
      </c>
      <c r="K475" s="2" t="s">
        <v>418</v>
      </c>
      <c r="L475" s="5"/>
      <c r="M475" s="5" t="s">
        <v>418</v>
      </c>
      <c r="N475" s="5" t="s">
        <v>419</v>
      </c>
    </row>
    <row r="476" spans="1:14" x14ac:dyDescent="0.35">
      <c r="A476" s="2">
        <v>475</v>
      </c>
      <c r="B476" s="2" t="s">
        <v>428</v>
      </c>
      <c r="C476" s="2" t="s">
        <v>907</v>
      </c>
      <c r="D476" s="2" t="s">
        <v>20</v>
      </c>
      <c r="E476" s="2">
        <v>811</v>
      </c>
      <c r="F476" s="2">
        <v>18.475674052803789</v>
      </c>
      <c r="G476" s="2">
        <v>-72.32241008970523</v>
      </c>
      <c r="H476" s="8" t="str">
        <f>HYPERLINK(CONCATENATE("https://faluhong.users.earthengine.app/view/hispaniola-lc-validation#id=PF475;lat=18.47567405280379;lon=-72.32241008970523;year=2000;bf=40;level=18;"), "landsat_time_series")</f>
        <v>landsat_time_series</v>
      </c>
      <c r="I476" s="8" t="str">
        <f>HYPERLINK(CONCATENATE("https://jstnbraaten.users.earthengine.app/view/landsat-timeseries-explorer#run=true;lon=-72.32241008970523;lat=18.47567405280379;from=01-01;to=12-31;index=NBR;rgb=NIR%2FRED%2FGREEN;chipwidth=1;"), "landsat_chips")</f>
        <v>landsat_chips</v>
      </c>
      <c r="J476" s="8" t="str">
        <f>HYPERLINK(CONCATENATE("https://livingatlas.arcgis.com/wayback/#ext=-72.32341008970523,18.47667405280379,-72.32141008970522,18.47467405280379"), "wayback")</f>
        <v>wayback</v>
      </c>
      <c r="K476" s="2" t="s">
        <v>422</v>
      </c>
      <c r="L476" s="5"/>
      <c r="M476" s="5" t="s">
        <v>422</v>
      </c>
      <c r="N476" s="5"/>
    </row>
    <row r="477" spans="1:14" x14ac:dyDescent="0.35">
      <c r="A477" s="2">
        <v>476</v>
      </c>
      <c r="B477" s="2" t="s">
        <v>428</v>
      </c>
      <c r="C477" s="2" t="s">
        <v>908</v>
      </c>
      <c r="D477" s="2" t="s">
        <v>20</v>
      </c>
      <c r="E477" s="2">
        <v>39</v>
      </c>
      <c r="F477" s="2">
        <v>18.598930205202109</v>
      </c>
      <c r="G477" s="2">
        <v>-72.143905498254639</v>
      </c>
      <c r="H477" s="8" t="str">
        <f>HYPERLINK(CONCATENATE("https://faluhong.users.earthengine.app/view/hispaniola-lc-validation#id=PF476;lat=18.598930205202105;lon=-72.14390549825464;year=2000;bf=40;level=18;"), "landsat_time_series")</f>
        <v>landsat_time_series</v>
      </c>
      <c r="I477" s="8" t="str">
        <f>HYPERLINK(CONCATENATE("https://jstnbraaten.users.earthengine.app/view/landsat-timeseries-explorer#run=true;lon=-72.14390549825464;lat=18.598930205202105;from=01-01;to=12-31;index=NBR;rgb=NIR%2FRED%2FGREEN;chipwidth=1;"), "landsat_chips")</f>
        <v>landsat_chips</v>
      </c>
      <c r="J477" s="8" t="str">
        <f>HYPERLINK(CONCATENATE("https://livingatlas.arcgis.com/wayback/#ext=-72.14490549825464,18.599930205202106,-72.14290549825463,18.597930205202104"), "wayback")</f>
        <v>wayback</v>
      </c>
      <c r="K477" s="2" t="s">
        <v>422</v>
      </c>
      <c r="L477" s="5"/>
      <c r="M477" s="5" t="s">
        <v>422</v>
      </c>
      <c r="N477" s="5"/>
    </row>
    <row r="478" spans="1:14" x14ac:dyDescent="0.35">
      <c r="A478" s="2">
        <v>477</v>
      </c>
      <c r="B478" s="2" t="s">
        <v>428</v>
      </c>
      <c r="C478" s="2" t="s">
        <v>909</v>
      </c>
      <c r="D478" s="2" t="s">
        <v>20</v>
      </c>
      <c r="E478" s="2">
        <v>2054</v>
      </c>
      <c r="F478" s="2">
        <v>18.358978805059252</v>
      </c>
      <c r="G478" s="2">
        <v>-72.030407869837589</v>
      </c>
      <c r="H478" s="8" t="str">
        <f>HYPERLINK(CONCATENATE("https://faluhong.users.earthengine.app/view/hispaniola-lc-validation#id=PF477;lat=18.358978805059248;lon=-72.03040786983759;year=2000;bf=40;level=18;"), "landsat_time_series")</f>
        <v>landsat_time_series</v>
      </c>
      <c r="I478" s="8" t="str">
        <f>HYPERLINK(CONCATENATE("https://jstnbraaten.users.earthengine.app/view/landsat-timeseries-explorer#run=true;lon=-72.03040786983759;lat=18.358978805059248;from=01-01;to=12-31;index=NBR;rgb=NIR%2FRED%2FGREEN;chipwidth=1;"), "landsat_chips")</f>
        <v>landsat_chips</v>
      </c>
      <c r="J478" s="8" t="str">
        <f>HYPERLINK(CONCATENATE("https://livingatlas.arcgis.com/wayback/#ext=-72.0314078698376,18.35997880505925,-72.02940786983758,18.357978805059247"), "wayback")</f>
        <v>wayback</v>
      </c>
      <c r="K478" s="2" t="s">
        <v>418</v>
      </c>
      <c r="L478" s="5"/>
      <c r="M478" s="5" t="s">
        <v>418</v>
      </c>
      <c r="N478" s="5" t="s">
        <v>422</v>
      </c>
    </row>
    <row r="479" spans="1:14" x14ac:dyDescent="0.35">
      <c r="A479" s="2">
        <v>478</v>
      </c>
      <c r="B479" s="2" t="s">
        <v>428</v>
      </c>
      <c r="C479" s="2" t="s">
        <v>910</v>
      </c>
      <c r="D479" s="2" t="s">
        <v>20</v>
      </c>
      <c r="E479" s="2">
        <v>373</v>
      </c>
      <c r="F479" s="2">
        <v>18.83574789923258</v>
      </c>
      <c r="G479" s="2">
        <v>-71.819206477452042</v>
      </c>
      <c r="H479" s="8" t="str">
        <f>HYPERLINK(CONCATENATE("https://faluhong.users.earthengine.app/view/hispaniola-lc-validation#id=PF478;lat=18.83574789923258;lon=-71.81920647745204;year=2000;bf=40;level=18;"), "landsat_time_series")</f>
        <v>landsat_time_series</v>
      </c>
      <c r="I479" s="8" t="str">
        <f>HYPERLINK(CONCATENATE("https://jstnbraaten.users.earthengine.app/view/landsat-timeseries-explorer#run=true;lon=-71.81920647745204;lat=18.83574789923258;from=01-01;to=12-31;index=NBR;rgb=NIR%2FRED%2FGREEN;chipwidth=1;"), "landsat_chips")</f>
        <v>landsat_chips</v>
      </c>
      <c r="J479" s="8" t="str">
        <f>HYPERLINK(CONCATENATE("https://livingatlas.arcgis.com/wayback/#ext=-71.82020647745205,18.83674789923258,-71.81820647745204,18.83474789923258"), "wayback")</f>
        <v>wayback</v>
      </c>
      <c r="K479" s="2" t="s">
        <v>422</v>
      </c>
      <c r="L479" s="5"/>
      <c r="M479" s="5" t="s">
        <v>422</v>
      </c>
      <c r="N479" s="5"/>
    </row>
    <row r="480" spans="1:14" x14ac:dyDescent="0.35">
      <c r="A480" s="2">
        <v>479</v>
      </c>
      <c r="B480" s="2" t="s">
        <v>428</v>
      </c>
      <c r="C480" s="2" t="s">
        <v>911</v>
      </c>
      <c r="D480" s="2" t="s">
        <v>10</v>
      </c>
      <c r="E480" s="2">
        <v>387</v>
      </c>
      <c r="F480" s="2">
        <v>19.46795556131487</v>
      </c>
      <c r="G480" s="2">
        <v>-70.87265485793489</v>
      </c>
      <c r="H480" s="8" t="str">
        <f>HYPERLINK(CONCATENATE("https://faluhong.users.earthengine.app/view/hispaniola-lc-validation#id=PF479;lat=19.467955561314874;lon=-70.87265485793489;year=2000;bf=40;level=18;"), "landsat_time_series")</f>
        <v>landsat_time_series</v>
      </c>
      <c r="I480" s="8" t="str">
        <f>HYPERLINK(CONCATENATE("https://jstnbraaten.users.earthengine.app/view/landsat-timeseries-explorer#run=true;lon=-70.87265485793489;lat=19.467955561314874;from=01-01;to=12-31;index=NBR;rgb=NIR%2FRED%2FGREEN;chipwidth=1;"), "landsat_chips")</f>
        <v>landsat_chips</v>
      </c>
      <c r="J480" s="8" t="str">
        <f>HYPERLINK(CONCATENATE("https://livingatlas.arcgis.com/wayback/#ext=-70.8736548579349,19.468955561314875,-70.87165485793489,19.466955561314872"), "wayback")</f>
        <v>wayback</v>
      </c>
      <c r="K480" s="2" t="s">
        <v>422</v>
      </c>
      <c r="L480" s="5"/>
      <c r="M480" s="5" t="s">
        <v>422</v>
      </c>
      <c r="N480" s="5"/>
    </row>
    <row r="481" spans="1:14" x14ac:dyDescent="0.35">
      <c r="A481" s="2">
        <v>480</v>
      </c>
      <c r="B481" s="2" t="s">
        <v>428</v>
      </c>
      <c r="C481" s="2" t="s">
        <v>912</v>
      </c>
      <c r="D481" s="2" t="s">
        <v>10</v>
      </c>
      <c r="E481" s="2">
        <v>48</v>
      </c>
      <c r="F481" s="2">
        <v>18.4667127055531</v>
      </c>
      <c r="G481" s="2">
        <v>-69.917900741521748</v>
      </c>
      <c r="H481" s="8" t="str">
        <f>HYPERLINK(CONCATENATE("https://faluhong.users.earthengine.app/view/hispaniola-lc-validation#id=PF480;lat=18.4667127055531;lon=-69.91790074152175;year=2000;bf=40;level=18;"), "landsat_time_series")</f>
        <v>landsat_time_series</v>
      </c>
      <c r="I481" s="8" t="str">
        <f>HYPERLINK(CONCATENATE("https://jstnbraaten.users.earthengine.app/view/landsat-timeseries-explorer#run=true;lon=-69.91790074152175;lat=18.4667127055531;from=01-01;to=12-31;index=NBR;rgb=NIR%2FRED%2FGREEN;chipwidth=1;"), "landsat_chips")</f>
        <v>landsat_chips</v>
      </c>
      <c r="J481" s="8" t="str">
        <f>HYPERLINK(CONCATENATE("https://livingatlas.arcgis.com/wayback/#ext=-69.91890074152175,18.4677127055531,-69.91690074152174,18.4657127055531"), "wayback")</f>
        <v>wayback</v>
      </c>
      <c r="K481" s="2" t="s">
        <v>422</v>
      </c>
      <c r="L481" s="5"/>
      <c r="M481" s="5" t="s">
        <v>422</v>
      </c>
      <c r="N481" s="5"/>
    </row>
    <row r="482" spans="1:14" x14ac:dyDescent="0.35">
      <c r="A482" s="2">
        <v>481</v>
      </c>
      <c r="B482" s="2" t="s">
        <v>428</v>
      </c>
      <c r="C482" s="2" t="s">
        <v>913</v>
      </c>
      <c r="D482" s="2" t="s">
        <v>10</v>
      </c>
      <c r="E482" s="2">
        <v>5</v>
      </c>
      <c r="F482" s="2">
        <v>18.36808706645564</v>
      </c>
      <c r="G482" s="2">
        <v>-70.764136744357032</v>
      </c>
      <c r="H482" s="8" t="str">
        <f>HYPERLINK(CONCATENATE("https://faluhong.users.earthengine.app/view/hispaniola-lc-validation#id=PF481;lat=18.368087066455644;lon=-70.76413674435703;year=2000;bf=40;level=18;"), "landsat_time_series")</f>
        <v>landsat_time_series</v>
      </c>
      <c r="I482" s="8" t="str">
        <f>HYPERLINK(CONCATENATE("https://jstnbraaten.users.earthengine.app/view/landsat-timeseries-explorer#run=true;lon=-70.76413674435703;lat=18.368087066455644;from=01-01;to=12-31;index=NBR;rgb=NIR%2FRED%2FGREEN;chipwidth=1;"), "landsat_chips")</f>
        <v>landsat_chips</v>
      </c>
      <c r="J482" s="8" t="str">
        <f>HYPERLINK(CONCATENATE("https://livingatlas.arcgis.com/wayback/#ext=-70.76513674435704,18.369087066455645,-70.76313674435703,18.367087066455642"), "wayback")</f>
        <v>wayback</v>
      </c>
      <c r="K482" s="2" t="s">
        <v>422</v>
      </c>
      <c r="L482" s="5"/>
      <c r="M482" s="5" t="s">
        <v>422</v>
      </c>
      <c r="N482" s="5"/>
    </row>
    <row r="483" spans="1:14" x14ac:dyDescent="0.35">
      <c r="A483" s="2">
        <v>482</v>
      </c>
      <c r="B483" s="2" t="s">
        <v>428</v>
      </c>
      <c r="C483" s="2" t="s">
        <v>914</v>
      </c>
      <c r="D483" s="2" t="s">
        <v>10</v>
      </c>
      <c r="E483" s="2">
        <v>100</v>
      </c>
      <c r="F483" s="2">
        <v>18.781562384712679</v>
      </c>
      <c r="G483" s="2">
        <v>-70.038943212259298</v>
      </c>
      <c r="H483" s="8" t="str">
        <f>HYPERLINK(CONCATENATE("https://faluhong.users.earthengine.app/view/hispaniola-lc-validation#id=PF482;lat=18.78156238471268;lon=-70.0389432122593;year=2000;bf=40;level=18;"), "landsat_time_series")</f>
        <v>landsat_time_series</v>
      </c>
      <c r="I483" s="8" t="str">
        <f>HYPERLINK(CONCATENATE("https://jstnbraaten.users.earthengine.app/view/landsat-timeseries-explorer#run=true;lon=-70.0389432122593;lat=18.78156238471268;from=01-01;to=12-31;index=NBR;rgb=NIR%2FRED%2FGREEN;chipwidth=1;"), "landsat_chips")</f>
        <v>landsat_chips</v>
      </c>
      <c r="J483" s="8" t="str">
        <f>HYPERLINK(CONCATENATE("https://livingatlas.arcgis.com/wayback/#ext=-70.0399432122593,18.78256238471268,-70.0379432122593,18.780562384712677"), "wayback")</f>
        <v>wayback</v>
      </c>
      <c r="K483" s="2" t="s">
        <v>422</v>
      </c>
      <c r="L483" s="5"/>
      <c r="M483" s="5" t="s">
        <v>422</v>
      </c>
      <c r="N483" s="5"/>
    </row>
    <row r="484" spans="1:14" x14ac:dyDescent="0.35">
      <c r="A484" s="2">
        <v>483</v>
      </c>
      <c r="B484" s="2" t="s">
        <v>428</v>
      </c>
      <c r="C484" s="2" t="s">
        <v>915</v>
      </c>
      <c r="D484" s="2" t="s">
        <v>10</v>
      </c>
      <c r="E484" s="2">
        <v>126</v>
      </c>
      <c r="F484" s="2">
        <v>18.59946649169142</v>
      </c>
      <c r="G484" s="2">
        <v>-70.118292953448531</v>
      </c>
      <c r="H484" s="8" t="str">
        <f>HYPERLINK(CONCATENATE("https://faluhong.users.earthengine.app/view/hispaniola-lc-validation#id=PF483;lat=18.599466491691416;lon=-70.11829295344853;year=2000;bf=40;level=18;"), "landsat_time_series")</f>
        <v>landsat_time_series</v>
      </c>
      <c r="I484" s="8" t="str">
        <f>HYPERLINK(CONCATENATE("https://jstnbraaten.users.earthengine.app/view/landsat-timeseries-explorer#run=true;lon=-70.11829295344853;lat=18.599466491691416;from=01-01;to=12-31;index=NBR;rgb=NIR%2FRED%2FGREEN;chipwidth=1;"), "landsat_chips")</f>
        <v>landsat_chips</v>
      </c>
      <c r="J484" s="8" t="str">
        <f>HYPERLINK(CONCATENATE("https://livingatlas.arcgis.com/wayback/#ext=-70.11929295344854,18.600466491691417,-70.11729295344853,18.598466491691415"), "wayback")</f>
        <v>wayback</v>
      </c>
      <c r="K484" s="2" t="s">
        <v>422</v>
      </c>
      <c r="L484" s="5"/>
      <c r="M484" s="5" t="s">
        <v>422</v>
      </c>
      <c r="N484" s="5"/>
    </row>
    <row r="485" spans="1:14" x14ac:dyDescent="0.35">
      <c r="A485" s="2">
        <v>484</v>
      </c>
      <c r="B485" s="2" t="s">
        <v>428</v>
      </c>
      <c r="C485" s="2" t="s">
        <v>916</v>
      </c>
      <c r="D485" s="2" t="s">
        <v>10</v>
      </c>
      <c r="E485" s="2">
        <v>243</v>
      </c>
      <c r="F485" s="2">
        <v>19.426362805839691</v>
      </c>
      <c r="G485" s="2">
        <v>-71.488875789820241</v>
      </c>
      <c r="H485" s="8" t="str">
        <f>HYPERLINK(CONCATENATE("https://faluhong.users.earthengine.app/view/hispaniola-lc-validation#id=PF484;lat=19.42636280583969;lon=-71.48887578982024;year=2000;bf=40;level=18;"), "landsat_time_series")</f>
        <v>landsat_time_series</v>
      </c>
      <c r="I485" s="8" t="str">
        <f>HYPERLINK(CONCATENATE("https://jstnbraaten.users.earthengine.app/view/landsat-timeseries-explorer#run=true;lon=-71.48887578982024;lat=19.42636280583969;from=01-01;to=12-31;index=NBR;rgb=NIR%2FRED%2FGREEN;chipwidth=1;"), "landsat_chips")</f>
        <v>landsat_chips</v>
      </c>
      <c r="J485" s="8" t="str">
        <f>HYPERLINK(CONCATENATE("https://livingatlas.arcgis.com/wayback/#ext=-71.48987578982025,19.427362805839692,-71.48787578982024,19.42536280583969"), "wayback")</f>
        <v>wayback</v>
      </c>
      <c r="K485" s="2" t="s">
        <v>422</v>
      </c>
      <c r="L485" s="5"/>
      <c r="M485" s="5" t="s">
        <v>422</v>
      </c>
      <c r="N485" s="5"/>
    </row>
    <row r="486" spans="1:14" x14ac:dyDescent="0.35">
      <c r="A486" s="2">
        <v>485</v>
      </c>
      <c r="B486" s="2" t="s">
        <v>428</v>
      </c>
      <c r="C486" s="2" t="s">
        <v>917</v>
      </c>
      <c r="D486" s="2" t="s">
        <v>10</v>
      </c>
      <c r="E486" s="2">
        <v>1759</v>
      </c>
      <c r="F486" s="2">
        <v>18.179012275935509</v>
      </c>
      <c r="G486" s="2">
        <v>-71.504628626682916</v>
      </c>
      <c r="H486" s="8" t="str">
        <f>HYPERLINK(CONCATENATE("https://faluhong.users.earthengine.app/view/hispaniola-lc-validation#id=PF485;lat=18.179012275935506;lon=-71.50462862668292;year=2000;bf=40;level=18;"), "landsat_time_series")</f>
        <v>landsat_time_series</v>
      </c>
      <c r="I486" s="8" t="str">
        <f>HYPERLINK(CONCATENATE("https://jstnbraaten.users.earthengine.app/view/landsat-timeseries-explorer#run=true;lon=-71.50462862668292;lat=18.179012275935506;from=01-01;to=12-31;index=NBR;rgb=NIR%2FRED%2FGREEN;chipwidth=1;"), "landsat_chips")</f>
        <v>landsat_chips</v>
      </c>
      <c r="J486" s="8" t="str">
        <f>HYPERLINK(CONCATENATE("https://livingatlas.arcgis.com/wayback/#ext=-71.50562862668292,18.180012275935507,-71.50362862668291,18.178012275935505"), "wayback")</f>
        <v>wayback</v>
      </c>
      <c r="K486" s="2" t="s">
        <v>418</v>
      </c>
      <c r="L486" s="5"/>
      <c r="M486" s="5" t="s">
        <v>418</v>
      </c>
      <c r="N486" s="5" t="s">
        <v>419</v>
      </c>
    </row>
    <row r="487" spans="1:14" x14ac:dyDescent="0.35">
      <c r="A487" s="2">
        <v>486</v>
      </c>
      <c r="B487" s="2" t="s">
        <v>428</v>
      </c>
      <c r="C487" s="2" t="s">
        <v>918</v>
      </c>
      <c r="D487" s="2" t="s">
        <v>20</v>
      </c>
      <c r="E487" s="2">
        <v>647</v>
      </c>
      <c r="F487" s="2">
        <v>19.067220360839372</v>
      </c>
      <c r="G487" s="2">
        <v>-72.106596379237246</v>
      </c>
      <c r="H487" s="8" t="str">
        <f>HYPERLINK(CONCATENATE("https://faluhong.users.earthengine.app/view/hispaniola-lc-validation#id=PF486;lat=19.067220360839368;lon=-72.10659637923725;year=2000;bf=40;level=18;"), "landsat_time_series")</f>
        <v>landsat_time_series</v>
      </c>
      <c r="I487" s="8" t="str">
        <f>HYPERLINK(CONCATENATE("https://jstnbraaten.users.earthengine.app/view/landsat-timeseries-explorer#run=true;lon=-72.10659637923725;lat=19.067220360839368;from=01-01;to=12-31;index=NBR;rgb=NIR%2FRED%2FGREEN;chipwidth=1;"), "landsat_chips")</f>
        <v>landsat_chips</v>
      </c>
      <c r="J487" s="8" t="str">
        <f>HYPERLINK(CONCATENATE("https://livingatlas.arcgis.com/wayback/#ext=-72.10759637923725,19.06822036083937,-72.10559637923724,19.066220360839367"), "wayback")</f>
        <v>wayback</v>
      </c>
      <c r="K487" s="2" t="s">
        <v>422</v>
      </c>
      <c r="L487" s="5"/>
      <c r="M487" s="5" t="s">
        <v>422</v>
      </c>
      <c r="N487" s="5"/>
    </row>
  </sheetData>
  <autoFilter ref="A1:N1" xr:uid="{A0E03589-D8D5-4D15-8D5F-704708B108CC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landcover_validation_record</vt:lpstr>
      <vt:lpstr>pf_loss_validation_record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falu hong</cp:lastModifiedBy>
  <dcterms:created xsi:type="dcterms:W3CDTF">2024-05-20T01:48:07Z</dcterms:created>
  <dcterms:modified xsi:type="dcterms:W3CDTF">2024-07-15T16:04:53Z</dcterms:modified>
</cp:coreProperties>
</file>