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E0021867-B490-4CEF-B752-C4596DF1C8AB}"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PERT® Beta - Agile Forecast" sheetId="30" r:id="rId7"/>
    <sheet name="Skew" sheetId="2" r:id="rId8"/>
    <sheet name="Confidence" sheetId="3" r:id="rId9"/>
    <sheet name="Alpha-Beta" sheetId="1" r:id="rId10"/>
    <sheet name="Standard Deviation Ratios" sheetId="18" r:id="rId11"/>
    <sheet name="Mean Ratios" sheetId="19" r:id="rId12"/>
    <sheet name="VLookups" sheetId="25" r:id="rId13"/>
    <sheet name="Change Log" sheetId="7" r:id="rId14"/>
    <sheet name="GNU GPL" sheetId="29" r:id="rId1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4" i="30" l="1"/>
  <c r="C15" i="30"/>
  <c r="C17" i="30"/>
  <c r="C24" i="30"/>
  <c r="C18" i="30" l="1"/>
  <c r="C51" i="30"/>
  <c r="B34" i="30"/>
  <c r="C9" i="30"/>
  <c r="B53" i="30" l="1"/>
  <c r="B54" i="30" s="1"/>
  <c r="B55" i="30" s="1"/>
  <c r="C12" i="30"/>
  <c r="C16" i="30" s="1"/>
  <c r="AH4" i="20"/>
  <c r="C19" i="30" l="1"/>
  <c r="C20" i="30"/>
  <c r="C25" i="30"/>
  <c r="B56" i="30"/>
  <c r="C13" i="30"/>
  <c r="AI4" i="20"/>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C53" i="30" l="1"/>
  <c r="C54" i="30"/>
  <c r="C26" i="30"/>
  <c r="C27" i="30" s="1"/>
  <c r="C28" i="30" s="1"/>
  <c r="C30" i="30" s="1"/>
  <c r="C31" i="30" s="1"/>
  <c r="S3" i="30"/>
  <c r="C56" i="30"/>
  <c r="B57" i="30"/>
  <c r="C55" i="30"/>
  <c r="IB7" i="20"/>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B58" i="30" l="1"/>
  <c r="C57" i="30"/>
  <c r="IC6" i="20"/>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C58" i="30" l="1"/>
  <c r="B59" i="30"/>
  <c r="AL4" i="20"/>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B60" i="30" l="1"/>
  <c r="C59" i="30"/>
  <c r="AM4" i="20"/>
  <c r="IE6" i="20"/>
  <c r="IE7" i="20"/>
  <c r="AR7" i="27"/>
  <c r="AR8" i="27"/>
  <c r="AP13" i="27"/>
  <c r="AP6" i="27"/>
  <c r="AR10" i="27"/>
  <c r="AS5" i="27"/>
  <c r="AS12" i="27"/>
  <c r="AR11" i="27"/>
  <c r="AQ4" i="27"/>
  <c r="AK13" i="26"/>
  <c r="AL10" i="26"/>
  <c r="AL12" i="26"/>
  <c r="AK7" i="26"/>
  <c r="AN9" i="26"/>
  <c r="AL6" i="26"/>
  <c r="AL8" i="26"/>
  <c r="AL4" i="26"/>
  <c r="AK11" i="26"/>
  <c r="AM5" i="26"/>
  <c r="B66" i="28"/>
  <c r="D41" i="28"/>
  <c r="B41" i="28"/>
  <c r="C60" i="30" l="1"/>
  <c r="B61" i="30"/>
  <c r="IF6" i="20"/>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B62" i="30" l="1"/>
  <c r="C61" i="30"/>
  <c r="AO4" i="20"/>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B63" i="30" l="1"/>
  <c r="C62" i="30"/>
  <c r="AP4" i="20"/>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C63" i="30" l="1"/>
  <c r="B64" i="30"/>
  <c r="AQ4" i="20"/>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C64" i="30" l="1"/>
  <c r="B65" i="30"/>
  <c r="IJ6" i="20"/>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B66" i="30" l="1"/>
  <c r="C65" i="30"/>
  <c r="AF22" i="27"/>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C66" i="30" l="1"/>
  <c r="B67" i="30"/>
  <c r="EM5" i="27"/>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B68" i="30" l="1"/>
  <c r="C67" i="30"/>
  <c r="AU4" i="20"/>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C68" i="30" l="1"/>
  <c r="B69" i="30"/>
  <c r="IN6" i="20"/>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C69" i="30" l="1"/>
  <c r="B70" i="30"/>
  <c r="AW4" i="20"/>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B71" i="30" l="1"/>
  <c r="C70" i="30"/>
  <c r="AX4" i="20"/>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C71" i="30" l="1"/>
  <c r="B72" i="30"/>
  <c r="AY4" i="20"/>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B73" i="30" l="1"/>
  <c r="C72" i="30"/>
  <c r="AZ4" i="20"/>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B74" i="30" l="1"/>
  <c r="C73" i="30"/>
  <c r="Z106" i="26"/>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C74" i="30" l="1"/>
  <c r="B75" i="30"/>
  <c r="EE104" i="26"/>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B76" i="30" l="1"/>
  <c r="C75" i="30"/>
  <c r="EG107" i="26"/>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C76" i="30" l="1"/>
  <c r="B77" i="30"/>
  <c r="FD10" i="27"/>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C77" i="30" l="1"/>
  <c r="B78" i="30"/>
  <c r="P11" i="17"/>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B79" i="30" l="1"/>
  <c r="C78" i="30"/>
  <c r="EF11" i="17"/>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C79" i="30" l="1"/>
  <c r="B80" i="30"/>
  <c r="EI104" i="27"/>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C80" i="30" l="1"/>
  <c r="B81" i="30"/>
  <c r="T106" i="17"/>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B82" i="30" l="1"/>
  <c r="C81" i="30"/>
  <c r="EJ109" i="27"/>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C82" i="30" l="1"/>
  <c r="B83" i="30"/>
  <c r="AJ104" i="17"/>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B84" i="30" l="1"/>
  <c r="C83" i="30"/>
  <c r="IB109" i="17"/>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C84" i="30" l="1"/>
  <c r="B85" i="30"/>
  <c r="AL104" i="17"/>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B86" i="30" l="1"/>
  <c r="C85" i="30"/>
  <c r="AM104" i="17"/>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C86" i="30" l="1"/>
  <c r="B87" i="30"/>
  <c r="AN104" i="17"/>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C87" i="30" l="1"/>
  <c r="B88" i="30"/>
  <c r="AO104" i="17"/>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C88" i="30" l="1"/>
  <c r="B89" i="30"/>
  <c r="AP104" i="17"/>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B90" i="30" l="1"/>
  <c r="C89" i="30"/>
  <c r="AQ104" i="17"/>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C90" i="30" l="1"/>
  <c r="B91" i="30"/>
  <c r="AR104" i="17"/>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B92" i="30" l="1"/>
  <c r="C91" i="30"/>
  <c r="AS104" i="17"/>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B93" i="30" l="1"/>
  <c r="C92" i="30"/>
  <c r="AT104" i="17"/>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C93" i="30" l="1"/>
  <c r="B94" i="30"/>
  <c r="AU104" i="17"/>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B95" i="30" l="1"/>
  <c r="C94" i="30"/>
  <c r="AV104" i="17"/>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C95" i="30" l="1"/>
  <c r="B96" i="30"/>
  <c r="AW104" i="17"/>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C96" i="30" l="1"/>
  <c r="B97" i="30"/>
  <c r="AX104" i="17"/>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B98" i="30" l="1"/>
  <c r="C97" i="30"/>
  <c r="AY104" i="17"/>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C98" i="30" l="1"/>
  <c r="B99" i="30"/>
  <c r="AZ104" i="17"/>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100" i="30" l="1"/>
  <c r="C99" i="30"/>
  <c r="BA104" i="17"/>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101" i="30" l="1"/>
  <c r="C100" i="30"/>
  <c r="BB104" i="17"/>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102" i="30" l="1"/>
  <c r="C101" i="30"/>
  <c r="BC104" i="17"/>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C102" i="30" l="1"/>
  <c r="B103" i="30"/>
  <c r="FE109" i="27"/>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C103" i="30" l="1"/>
  <c r="B104" i="30"/>
  <c r="BE104" i="17"/>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105" i="30" l="1"/>
  <c r="C104" i="30"/>
  <c r="BF104" i="17"/>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B106" i="30" l="1"/>
  <c r="C105" i="30"/>
  <c r="FH109" i="27"/>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C106" i="30" l="1"/>
  <c r="B107" i="30"/>
  <c r="BH104" i="17"/>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B108" i="30" l="1"/>
  <c r="C107" i="30"/>
  <c r="FJ109" i="27"/>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109" i="30" l="1"/>
  <c r="C108" i="30"/>
  <c r="BJ104" i="17"/>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C109" i="30" l="1"/>
  <c r="B110" i="30"/>
  <c r="BK104" i="17"/>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C110" i="30" l="1"/>
  <c r="B111" i="30"/>
  <c r="BL104" i="17"/>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C111" i="30" l="1"/>
  <c r="B112" i="30"/>
  <c r="BM104" i="17"/>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C112" i="30" l="1"/>
  <c r="B113" i="30"/>
  <c r="FQ109" i="26"/>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B114" i="30" l="1"/>
  <c r="C113" i="30"/>
  <c r="FP109" i="27"/>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C114" i="30" l="1"/>
  <c r="B115" i="30"/>
  <c r="BP104" i="17"/>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116" i="30" l="1"/>
  <c r="C115" i="30"/>
  <c r="BQ104" i="17"/>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117" i="30" l="1"/>
  <c r="C116" i="30"/>
  <c r="BR104" i="17"/>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118" i="30" l="1"/>
  <c r="C117" i="30"/>
  <c r="BS104" i="17"/>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119" i="30" l="1"/>
  <c r="C118" i="30"/>
  <c r="BT104" i="17"/>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C119" i="30" l="1"/>
  <c r="B120" i="30"/>
  <c r="BU104" i="17"/>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121" i="30" l="1"/>
  <c r="C120" i="30"/>
  <c r="BV104" i="17"/>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C121" i="30" l="1"/>
  <c r="B122" i="30"/>
  <c r="BW104" i="17"/>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C122" i="30" l="1"/>
  <c r="B123" i="30"/>
  <c r="BX104" i="17"/>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124" i="30" l="1"/>
  <c r="C123" i="30"/>
  <c r="BY104" i="17"/>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125" i="30" l="1"/>
  <c r="C124" i="30"/>
  <c r="BZ104" i="17"/>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125" i="30" l="1"/>
  <c r="B126" i="30"/>
  <c r="CA104" i="17"/>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126" i="30" l="1"/>
  <c r="B127" i="30"/>
  <c r="CB104" i="17"/>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C127" i="30" l="1"/>
  <c r="B128" i="30"/>
  <c r="GF109" i="26"/>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128" i="30" l="1"/>
  <c r="B129" i="30"/>
  <c r="CD104" i="17"/>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B130" i="30" l="1"/>
  <c r="C129" i="30"/>
  <c r="CE104" i="17"/>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130" i="30" l="1"/>
  <c r="B131" i="30"/>
  <c r="CF104" i="17"/>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B132" i="30" l="1"/>
  <c r="C131" i="30"/>
  <c r="CG104" i="17"/>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132" i="30" l="1"/>
  <c r="B133" i="30"/>
  <c r="CH104" i="17"/>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133" i="30" l="1"/>
  <c r="B134" i="30"/>
  <c r="CI104" i="17"/>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B135" i="30" l="1"/>
  <c r="C134" i="30"/>
  <c r="CJ104" i="17"/>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135" i="30" l="1"/>
  <c r="B136" i="30"/>
  <c r="CK104" i="17"/>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136" i="30" l="1"/>
  <c r="B137" i="30"/>
  <c r="CL104" i="17"/>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C137" i="30" l="1"/>
  <c r="B138" i="30"/>
  <c r="GN109" i="27"/>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138" i="30" l="1"/>
  <c r="B139" i="30"/>
  <c r="CN104" i="17"/>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B140" i="30" l="1"/>
  <c r="C139" i="30"/>
  <c r="CO104" i="17"/>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140" i="30" l="1"/>
  <c r="B141" i="30"/>
  <c r="CP104" i="17"/>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B142" i="30" l="1"/>
  <c r="C141" i="30"/>
  <c r="CQ104" i="17"/>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142" i="30" l="1"/>
  <c r="B143" i="30"/>
  <c r="CR104" i="17"/>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143" i="30" l="1"/>
  <c r="B144" i="30"/>
  <c r="CS104" i="17"/>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144" i="30" l="1"/>
  <c r="B145" i="30"/>
  <c r="CT104" i="17"/>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B146" i="30" l="1"/>
  <c r="C145" i="30"/>
  <c r="CU104" i="17"/>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146" i="30" l="1"/>
  <c r="B147" i="30"/>
  <c r="CV104" i="17"/>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B148" i="30" l="1"/>
  <c r="C147" i="30"/>
  <c r="CW104" i="17"/>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B149" i="30" l="1"/>
  <c r="C148" i="30"/>
  <c r="CX104" i="17"/>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149" i="30" l="1"/>
  <c r="B150" i="30"/>
  <c r="CY104" i="17"/>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B151" i="30" l="1"/>
  <c r="C150" i="30"/>
  <c r="CZ104" i="17"/>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C151" i="30" l="1"/>
  <c r="B152" i="30"/>
  <c r="DA104" i="17"/>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B153" i="30" l="1"/>
  <c r="C153" i="30" s="1"/>
  <c r="C152" i="30"/>
  <c r="DB104" i="17"/>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<sst xmlns="http://schemas.openxmlformats.org/spreadsheetml/2006/main" count="1201" uniqueCount="757">
  <si>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</si>
  <si>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</si>
  <si>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</si>
  <si>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</si>
  <si>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</si>
  <si>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</si>
  <si>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</si>
  <si>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</si>
  <si>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</si>
  <si>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</si>
  <si>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</si>
  <si>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</si>
  <si>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</si>
  <si>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</si>
  <si>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</si>
  <si>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</si>
  <si>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</si>
  <si>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</si>
  <si>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</si>
  <si>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</si>
  <si>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</si>
  <si>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</si>
  <si>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</si>
  <si>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</si>
  <si>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</si>
  <si>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</si>
  <si>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</si>
  <si>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</si>
  <si>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</si>
  <si>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</si>
  <si>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</si>
  <si>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</si>
  <si>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</si>
  <si>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</si>
  <si>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</si>
  <si>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</si>
  <si>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</si>
  <si>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</si>
  <si>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</si>
  <si>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</si>
  <si>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</si>
  <si>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</si>
  <si>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</si>
  <si>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</si>
  <si>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</si>
  <si>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</si>
  <si>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</si>
  <si>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</si>
  <si>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</si>
  <si>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</si>
  <si>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</si>
  <si>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</si>
  <si>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</si>
  <si>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</si>
  <si>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</si>
  <si>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</si>
  <si>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</si>
  <si>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</si>
  <si>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</si>
  <si>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</si>
  <si>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</si>
  <si>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</si>
  <si>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</si>
  <si>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</si>
  <si>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</si>
  <si>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</si>
  <si>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</si>
  <si>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</si>
  <si>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</si>
  <si>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</si>
  <si>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</si>
  <si>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</si>
  <si>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</si>
  <si>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</si>
  <si>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</si>
  <si>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</si>
  <si>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</si>
  <si>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</si>
  <si>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</si>
  <si>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</si>
  <si>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</si>
  <si>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</si>
  <si>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</si>
  <si>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</si>
  <si>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</si>
  <si>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</si>
  <si>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</si>
  <si>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</si>
  <si>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</si>
  <si>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</si>
  <si>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</si>
  <si>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</si>
  <si>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</si>
  <si>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</si>
  <si>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</si>
  <si>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</si>
  <si>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</si>
  <si>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</si>
  <si>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</si>
  <si>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</si>
  <si>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</si>
  <si>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</si>
  <si>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</si>
  <si>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</si>
  <si>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</si>
  <si>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</si>
  <si>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</si>
  <si>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</si>
  <si>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</si>
  <si>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</si>
  <si>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</si>
  <si>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</si>
  <si>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</si>
  <si>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</si>
  <si>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</si>
  <si>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</si>
  <si>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</si>
  <si>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</si>
  <si>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</si>
  <si>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</si>
  <si>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</si>
  <si>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</si>
  <si>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</si>
  <si>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</si>
  <si>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</si>
  <si>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</si>
  <si>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</si>
  <si>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</si>
  <si>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</si>
  <si>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</si>
  <si>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</si>
  <si>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</si>
  <si>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</si>
  <si>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</si>
  <si>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</si>
  <si>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</si>
  <si>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</si>
  <si>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</si>
  <si>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</si>
  <si>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</si>
  <si>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</si>
  <si>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</si>
  <si>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</si>
  <si>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</si>
  <si>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</si>
  <si>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</si>
  <si>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</si>
  <si>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</si>
  <si>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</si>
  <si>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</si>
  <si>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</si>
  <si>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</si>
  <si>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</si>
  <si>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</si>
  <si>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</si>
  <si>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</si>
  <si>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</si>
  <si>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</si>
  <si>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</si>
  <si>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</si>
  <si>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</si>
  <si>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</si>
  <si>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</si>
  <si>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</si>
  <si>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</si>
  <si>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</si>
  <si>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</si>
  <si>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</si>
  <si>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</si>
  <si>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</si>
  <si>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</si>
  <si>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</si>
  <si>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</si>
  <si>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</si>
  <si>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</si>
  <si>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</si>
  <si>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</si>
  <si>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</si>
  <si>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</si>
  <si>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</si>
  <si>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</si>
  <si>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</si>
  <si>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</si>
  <si>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</si>
  <si>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</si>
  <si>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</si>
  <si>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</si>
  <si>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</si>
  <si>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</si>
  <si>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</si>
  <si>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</si>
  <si>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</si>
  <si>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</si>
  <si>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</si>
  <si>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</si>
  <si>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</si>
  <si>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</si>
  <si>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</si>
  <si>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</si>
  <si>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</si>
  <si>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</si>
  <si>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</si>
  <si>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</si>
  <si>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</si>
  <si>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</si>
  <si>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</si>
  <si>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</si>
  <si>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</si>
  <si>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</si>
  <si>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</si>
  <si>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</si>
  <si>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</si>
  <si>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</si>
  <si>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</si>
  <si>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</si>
  <si>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</si>
  <si>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</si>
  <si>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</si>
  <si>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</si>
  <si>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</si>
  <si>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</si>
  <si>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</si>
  <si>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</si>
  <si>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</si>
  <si>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</si>
  <si>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</si>
  <si>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</si>
  <si>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</si>
  <si>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</si>
  <si>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</si>
  <si>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</si>
  <si>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</si>
  <si>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</si>
  <si>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</si>
  <si>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</si>
  <si>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</si>
  <si>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</si>
  <si>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</si>
  <si>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</si>
  <si>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</si>
  <si>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</si>
  <si>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</si>
  <si>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</si>
  <si>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</si>
  <si>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</si>
  <si>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</si>
  <si>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</si>
  <si>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</si>
  <si>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</si>
  <si>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</si>
  <si>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</si>
  <si>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</si>
  <si>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</si>
  <si>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</si>
  <si>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</si>
  <si>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</si>
  <si>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</si>
  <si>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</si>
  <si>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</si>
  <si>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</si>
  <si>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</si>
  <si>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</si>
  <si>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</si>
  <si>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</si>
  <si>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</si>
  <si>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</si>
  <si>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</si>
  <si>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</si>
  <si>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</si>
  <si>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</si>
  <si>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</si>
  <si>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</si>
  <si>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</si>
  <si>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</si>
  <si>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</si>
  <si>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</si>
  <si>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</si>
  <si>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</si>
  <si>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</si>
  <si>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</si>
  <si>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</si>
  <si>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</si>
  <si>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</si>
  <si>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</si>
  <si>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</si>
  <si>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</si>
  <si>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</si>
  <si>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</si>
  <si>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</si>
  <si>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</si>
  <si>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</si>
  <si>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</si>
  <si>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</si>
  <si>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</si>
  <si>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</si>
  <si>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</si>
  <si>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</si>
  <si>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</si>
  <si>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</si>
  <si>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</si>
  <si>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</si>
  <si>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</si>
  <si>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</si>
  <si>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</si>
  <si>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</si>
  <si>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</si>
  <si>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</si>
  <si>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</si>
  <si>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</si>
  <si>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</si>
  <si>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</si>
  <si>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</si>
  <si>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</si>
  <si>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</si>
  <si>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</si>
  <si>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</si>
  <si>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</si>
  <si>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</si>
  <si>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</si>
  <si>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</si>
  <si>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</si>
  <si>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</si>
  <si>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</si>
  <si>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</si>
  <si>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</si>
  <si>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</si>
  <si>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</si>
  <si>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</si>
  <si>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</si>
  <si>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</si>
  <si>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</si>
  <si>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</si>
  <si>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</si>
  <si>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</si>
  <si>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</si>
  <si>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</si>
  <si>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</si>
  <si>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</si>
  <si>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</si>
  <si>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</si>
  <si>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</si>
  <si>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</si>
  <si>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</si>
  <si>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</si>
  <si>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</si>
  <si>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</si>
  <si>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</si>
  <si>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</si>
  <si>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</si>
  <si>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</si>
  <si>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</si>
  <si>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</si>
  <si>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</si>
  <si>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</si>
  <si>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</si>
  <si>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</si>
  <si>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</si>
  <si>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</si>
  <si>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</si>
  <si>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</si>
  <si>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</si>
  <si>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</si>
  <si>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</si>
  <si>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</si>
  <si>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</si>
  <si>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</si>
  <si>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</si>
  <si>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</si>
  <si>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</si>
  <si>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</si>
  <si>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</si>
  <si>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</si>
  <si>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</si>
  <si>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</si>
  <si>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</si>
  <si>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</si>
  <si>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</si>
  <si>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</si>
  <si>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</si>
  <si>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</si>
  <si>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</si>
  <si>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</si>
  <si>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</si>
  <si>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</si>
  <si>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</si>
  <si>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</si>
  <si>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</si>
  <si>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</si>
  <si>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</si>
  <si>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</si>
  <si>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</si>
  <si>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</si>
  <si>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</si>
  <si>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</si>
  <si>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</si>
  <si>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</si>
  <si>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</si>
  <si>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</si>
  <si>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</si>
  <si>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</si>
  <si>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</si>
  <si>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</si>
  <si>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</si>
  <si>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</si>
  <si>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</si>
  <si>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</si>
  <si>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</si>
  <si>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</si>
  <si>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</si>
  <si>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</si>
  <si>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</si>
  <si>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</si>
  <si>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</si>
  <si>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</si>
  <si>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</si>
  <si>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</si>
  <si>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</si>
  <si>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</si>
  <si>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</si>
  <si>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</si>
  <si>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</si>
  <si>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</si>
  <si>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</si>
  <si>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</si>
  <si>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</si>
  <si>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</si>
  <si>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</si>
  <si>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</si>
  <si>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</si>
  <si>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</si>
  <si>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</si>
  <si>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</si>
  <si>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</si>
  <si>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</si>
  <si>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</si>
  <si>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</si>
  <si>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</si>
  <si>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</si>
  <si>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</si>
  <si>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</si>
  <si>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</si>
  <si>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</si>
  <si>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</si>
  <si>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</si>
  <si>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</si>
  <si>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</si>
  <si>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</si>
  <si>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</si>
  <si>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</si>
  <si>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</si>
  <si>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</si>
  <si>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</si>
  <si>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</si>
  <si>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</si>
  <si>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</si>
  <si>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</si>
  <si>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</si>
  <si>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</si>
  <si>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</si>
  <si>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</si>
  <si>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</si>
  <si>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</si>
  <si>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</si>
  <si>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</si>
  <si>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</si>
  <si>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</si>
  <si>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</si>
  <si>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</si>
  <si>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</si>
  <si>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</si>
  <si>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</si>
  <si>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</si>
  <si>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</si>
  <si>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</si>
  <si>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</si>
  <si>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</si>
  <si>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</si>
  <si>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</si>
  <si>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</si>
  <si>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</si>
  <si>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</si>
  <si>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</si>
  <si>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</si>
  <si>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</si>
  <si>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</si>
  <si>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</si>
  <si>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</si>
  <si>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</si>
  <si>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</si>
  <si>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</si>
  <si>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</si>
  <si>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</si>
  <si>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</si>
  <si>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</si>
  <si>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</si>
  <si>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</si>
  <si>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</si>
  <si>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</si>
  <si>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</si>
  <si>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</si>
  <si>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</si>
  <si>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</si>
  <si>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</si>
  <si>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</si>
  <si>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</si>
  <si>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</si>
  <si>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</si>
  <si>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</si>
  <si>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</si>
  <si>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</si>
  <si>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</si>
  <si>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</si>
  <si>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</si>
  <si>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</si>
  <si>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</si>
  <si>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</si>
  <si>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</si>
  <si>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</si>
  <si>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</si>
  <si>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</si>
  <si>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</si>
  <si>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</si>
  <si>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</si>
  <si>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</si>
  <si>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</si>
  <si>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</si>
  <si>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</si>
  <si>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</si>
  <si>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</si>
  <si>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</si>
  <si>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</si>
  <si>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</si>
  <si>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</si>
  <si>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</si>
  <si>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</si>
  <si>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</si>
  <si>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</si>
  <si>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</si>
  <si>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</si>
  <si>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</si>
  <si>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</si>
  <si>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</si>
  <si>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</si>
  <si>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</si>
  <si>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</si>
  <si>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</si>
  <si>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</si>
  <si>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</si>
  <si>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</si>
  <si>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</si>
  <si>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</si>
  <si>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</si>
  <si>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</si>
  <si>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</si>
  <si>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</si>
  <si>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</si>
  <si>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</si>
  <si>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</si>
  <si>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</si>
  <si>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</si>
  <si>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</si>
  <si>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</si>
  <si>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</si>
  <si>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</si>
  <si>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</si>
  <si>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</si>
  <si>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</si>
  <si>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</si>
  <si>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</si>
  <si>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</si>
  <si>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</si>
  <si>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</si>
  <si>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</si>
  <si>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</si>
  <si>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</si>
  <si>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</si>
  <si>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</si>
  <si>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</si>
  <si>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</si>
  <si>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</si>
  <si>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</si>
  <si>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</si>
  <si>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</si>
  <si>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</si>
  <si>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</si>
  <si>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</si>
  <si>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</si>
  <si>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</si>
  <si>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</si>
  <si>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</si>
  <si>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</si>
  <si>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</si>
  <si>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</si>
  <si>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</si>
  <si>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</si>
  <si>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</si>
  <si>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</si>
  <si>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</si>
  <si>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</si>
  <si>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</si>
  <si>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</si>
  <si>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</si>
  <si>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</si>
  <si>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</si>
  <si>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</si>
  <si>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</si>
  <si>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</si>
  <si>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</si>
  <si>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</si>
  <si>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</si>
  <si>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</si>
  <si>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</si>
  <si>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</si>
  <si>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</si>
  <si>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</si>
  <si>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</si>
  <si>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</si>
  <si>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</si>
  <si>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</si>
  <si>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</si>
  <si>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</si>
  <si>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</si>
  <si>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</si>
  <si>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</si>
  <si>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</si>
  <si>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</si>
  <si>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</si>
  <si>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</si>
  <si>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</si>
  <si>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</si>
  <si>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</si>
  <si>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</si>
  <si>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</si>
  <si>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</si>
  <si>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</si>
  <si>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</si>
  <si>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</si>
  <si>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</si>
  <si>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</si>
  <si>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</si>
  <si>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</si>
  <si>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</si>
  <si>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</si>
  <si>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</si>
  <si>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</si>
  <si>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</si>
  <si>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</si>
  <si>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</si>
  <si>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</si>
  <si>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</si>
  <si>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</si>
  <si>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</si>
  <si>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</si>
  <si>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</si>
  <si>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</si>
  <si>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</si>
  <si>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</si>
  <si>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</si>
  <si>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</si>
  <si>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</si>
  <si>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</si>
  <si>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</si>
  <si>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</si>
  <si>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</si>
  <si>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</si>
  <si>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</si>
  <si>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</si>
  <si>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</si>
  <si>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</si>
  <si>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</si>
  <si>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</si>
  <si>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</si>
  <si>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</si>
  <si>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</si>
  <si>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</si>
  <si>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</si>
  <si>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</si>
  <si>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</si>
  <si>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</si>
  <si>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</si>
  <si>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</si>
  <si>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</si>
  <si>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</si>
  <si>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</si>
  <si>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</si>
  <si>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</si>
  <si>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</si>
  <si>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</si>
  <si>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</si>
  <si>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</si>
  <si>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</si>
  <si>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</si>
  <si>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</si>
  <si>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</si>
  <si>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</si>
  <si>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</si>
  <si>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</si>
  <si>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</si>
  <si>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</si>
  <si>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</si>
  <si>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</si>
  <si>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</si>
  <si>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</si>
  <si>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</si>
  <si>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</si>
  <si>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</si>
  <si>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</si>
  <si>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</si>
  <si>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</si>
  <si>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</si>
  <si>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</si>
  <si>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</si>
  <si>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</si>
  <si>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</si>
  <si>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</si>
  <si>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</si>
  <si>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</si>
  <si>
    <r>
      <t>The</t>
    </r>
    <r>
      <rPr>
        <b/>
        <sz val="11"/>
        <color theme="1"/>
        <rFont val="Calibri"/>
        <family val="2"/>
        <scheme val="minor"/>
      </rPr>
      <t xml:space="preserve"> starting date</t>
    </r>
    <r>
      <rPr>
        <sz val="11"/>
        <color theme="1"/>
        <rFont val="Calibri"/>
        <family val="2"/>
        <scheme val="minor"/>
      </rPr>
      <t xml:space="preserve"> for our next release is</t>
    </r>
  </si>
  <si>
    <t>We'll use</t>
  </si>
  <si>
    <r>
      <t>We'll</t>
    </r>
    <r>
      <rPr>
        <b/>
        <i/>
        <sz val="11"/>
        <color theme="1"/>
        <rFont val="Calibri"/>
        <family val="2"/>
        <scheme val="minor"/>
      </rPr>
      <t xml:space="preserve"> most likely </t>
    </r>
    <r>
      <rPr>
        <sz val="11"/>
        <color theme="1"/>
        <rFont val="Calibri"/>
        <family val="2"/>
        <scheme val="minor"/>
      </rPr>
      <t>complete about</t>
    </r>
  </si>
  <si>
    <t>We have</t>
  </si>
  <si>
    <r>
      <t xml:space="preserve">In a </t>
    </r>
    <r>
      <rPr>
        <b/>
        <sz val="11"/>
        <color theme="1"/>
        <rFont val="Calibri"/>
        <family val="2"/>
        <scheme val="minor"/>
      </rPr>
      <t>worst-case scenario</t>
    </r>
    <r>
      <rPr>
        <sz val="11"/>
        <color theme="1"/>
        <rFont val="Calibri"/>
        <family val="2"/>
        <scheme val="minor"/>
      </rPr>
      <t>, we would complete only</t>
    </r>
  </si>
  <si>
    <r>
      <t xml:space="preserve">In a </t>
    </r>
    <r>
      <rPr>
        <b/>
        <sz val="11"/>
        <color theme="1"/>
        <rFont val="Calibri"/>
        <family val="2"/>
        <scheme val="minor"/>
      </rPr>
      <t>best-case scenario</t>
    </r>
    <r>
      <rPr>
        <sz val="11"/>
        <color theme="1"/>
        <rFont val="Calibri"/>
        <family val="2"/>
        <scheme val="minor"/>
      </rPr>
      <t>, we might possibly complete</t>
    </r>
  </si>
  <si>
    <t>Our Product Backlog or next release represents about</t>
  </si>
  <si>
    <t>We desire</t>
  </si>
  <si>
    <r>
      <t xml:space="preserve">So, on </t>
    </r>
    <r>
      <rPr>
        <b/>
        <sz val="11"/>
        <color theme="1"/>
        <rFont val="Calibri"/>
        <family val="2"/>
        <scheme val="minor"/>
      </rPr>
      <t>average,</t>
    </r>
    <r>
      <rPr>
        <sz val="11"/>
        <color theme="1"/>
        <rFont val="Calibri"/>
        <family val="2"/>
        <scheme val="minor"/>
      </rPr>
      <t xml:space="preserve"> we expect each sprint will finish</t>
    </r>
  </si>
  <si>
    <t>For this uncertainty, the SPERT standard deviation is</t>
  </si>
  <si>
    <r>
      <t>Given this, we forecast that we'll complete</t>
    </r>
    <r>
      <rPr>
        <b/>
        <i/>
        <sz val="11"/>
        <color theme="1"/>
        <rFont val="Calibri"/>
        <family val="2"/>
        <scheme val="minor"/>
      </rPr>
      <t xml:space="preserve"> at least</t>
    </r>
  </si>
  <si>
    <t>We'll need</t>
  </si>
  <si>
    <t>So, we'll need about</t>
  </si>
  <si>
    <t>During this time, there is/are</t>
  </si>
  <si>
    <t>In total, the number of days needed are</t>
  </si>
  <si>
    <r>
      <t>story points</t>
    </r>
    <r>
      <rPr>
        <sz val="11"/>
        <color theme="0" tint="-0.499984740745262"/>
        <rFont val="Calibri"/>
        <family val="2"/>
        <scheme val="minor"/>
      </rPr>
      <t xml:space="preserve"> </t>
    </r>
    <r>
      <rPr>
        <i/>
        <sz val="11"/>
        <color theme="0" tint="-0.499984740745262"/>
        <rFont val="Calibri"/>
        <family val="2"/>
        <scheme val="minor"/>
      </rPr>
      <t>(or user stories or features)</t>
    </r>
    <r>
      <rPr>
        <sz val="11"/>
        <color theme="1"/>
        <rFont val="Calibri"/>
        <family val="2"/>
        <scheme val="minor"/>
      </rPr>
      <t xml:space="preserve"> per sprint</t>
    </r>
  </si>
  <si>
    <r>
      <t xml:space="preserve">that the </t>
    </r>
    <r>
      <rPr>
        <b/>
        <i/>
        <sz val="11"/>
        <color theme="1"/>
        <rFont val="Calibri"/>
        <family val="2"/>
        <scheme val="minor"/>
      </rPr>
      <t>most likely</t>
    </r>
    <r>
      <rPr>
        <sz val="11"/>
        <color theme="1"/>
        <rFont val="Calibri"/>
        <family val="2"/>
        <scheme val="minor"/>
      </rPr>
      <t xml:space="preserve"> outcome will regularly occur</t>
    </r>
  </si>
  <si>
    <r>
      <t xml:space="preserve">story points </t>
    </r>
    <r>
      <rPr>
        <i/>
        <sz val="11"/>
        <color theme="0" tint="-0.499984740745262"/>
        <rFont val="Calibri"/>
        <family val="2"/>
        <scheme val="minor"/>
      </rPr>
      <t>(or user stories or features)</t>
    </r>
  </si>
  <si>
    <r>
      <t>story points</t>
    </r>
    <r>
      <rPr>
        <i/>
        <sz val="11"/>
        <color theme="0" tint="-0.499984740745262"/>
        <rFont val="Calibri"/>
        <family val="2"/>
        <scheme val="minor"/>
      </rPr>
      <t xml:space="preserve"> (or user stories or features)</t>
    </r>
  </si>
  <si>
    <r>
      <t>story points of effort</t>
    </r>
    <r>
      <rPr>
        <i/>
        <sz val="11"/>
        <color theme="0" tint="-0.499984740745262"/>
        <rFont val="Calibri"/>
        <family val="2"/>
        <scheme val="minor"/>
      </rPr>
      <t xml:space="preserve"> (or user stories or features)</t>
    </r>
  </si>
  <si>
    <t>confidence in each sprint iteration</t>
  </si>
  <si>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per sprint</t>
    </r>
  </si>
  <si>
    <r>
      <t>story points</t>
    </r>
    <r>
      <rPr>
        <sz val="11"/>
        <color theme="0" tint="-0.499984740745262"/>
        <rFont val="Calibri"/>
        <family val="2"/>
        <scheme val="minor"/>
      </rPr>
      <t xml:space="preserve"> </t>
    </r>
    <r>
      <rPr>
        <i/>
        <sz val="11"/>
        <color theme="0" tint="-0.499984740745262"/>
        <rFont val="Calibri"/>
        <family val="2"/>
        <scheme val="minor"/>
      </rPr>
      <t xml:space="preserve">(or user stories or features) </t>
    </r>
    <r>
      <rPr>
        <sz val="11"/>
        <color theme="1"/>
        <rFont val="Calibri"/>
        <family val="2"/>
        <scheme val="minor"/>
      </rPr>
      <t>each sprint</t>
    </r>
    <r>
      <rPr>
        <i/>
        <sz val="11"/>
        <color theme="0" tint="-0.499984740745262"/>
        <rFont val="Calibri"/>
        <family val="2"/>
        <scheme val="minor"/>
      </rPr>
      <t xml:space="preserve"> (for the confidence level expressed in cell C6)</t>
    </r>
  </si>
  <si>
    <t>sprints to do all the work of the Product Backlog or the next release</t>
  </si>
  <si>
    <t>business weeks</t>
  </si>
  <si>
    <t>extra days (working or non-working)</t>
  </si>
  <si>
    <t>which includes both working + non-working days</t>
  </si>
  <si>
    <t>The mean is</t>
  </si>
  <si>
    <r>
      <t xml:space="preserve">The </t>
    </r>
    <r>
      <rPr>
        <i/>
        <sz val="11"/>
        <color theme="1"/>
        <rFont val="Calibri"/>
        <family val="2"/>
        <scheme val="minor"/>
      </rPr>
      <t>alpha</t>
    </r>
    <r>
      <rPr>
        <sz val="11"/>
        <color theme="1"/>
        <rFont val="Calibri"/>
        <family val="2"/>
        <scheme val="minor"/>
      </rPr>
      <t xml:space="preserve"> shape argument is</t>
    </r>
  </si>
  <si>
    <r>
      <t xml:space="preserve">The </t>
    </r>
    <r>
      <rPr>
        <i/>
        <sz val="11"/>
        <color theme="1"/>
        <rFont val="Calibri"/>
        <family val="2"/>
        <scheme val="minor"/>
      </rPr>
      <t>beta</t>
    </r>
    <r>
      <rPr>
        <sz val="11"/>
        <color theme="1"/>
        <rFont val="Calibri"/>
        <family val="2"/>
        <scheme val="minor"/>
      </rPr>
      <t xml:space="preserve"> shape argument is</t>
    </r>
  </si>
  <si>
    <t>The bell-curve distribution looks like this</t>
  </si>
  <si>
    <r>
      <t xml:space="preserve">This is an </t>
    </r>
    <r>
      <rPr>
        <b/>
        <i/>
        <sz val="14"/>
        <color theme="1"/>
        <rFont val="Calibri"/>
        <family val="2"/>
        <scheme val="minor"/>
      </rPr>
      <t>experimental</t>
    </r>
    <r>
      <rPr>
        <sz val="14"/>
        <color theme="1"/>
        <rFont val="Calibri"/>
        <family val="2"/>
        <scheme val="minor"/>
      </rPr>
      <t xml:space="preserve"> worksheet for agile team forecasting</t>
    </r>
  </si>
  <si>
    <t>Scenario 1</t>
  </si>
  <si>
    <t>Added new Agile Forecast tab including a single scenario</t>
  </si>
  <si>
    <t>2.0m</t>
  </si>
  <si>
    <t>Be sure there is a green checkmark; otherwise, check your 3-point estimate for correctness</t>
  </si>
  <si>
    <t>Agile Forecast formatting</t>
  </si>
  <si>
    <t>week iterations or sprints</t>
  </si>
  <si>
    <t>So, we will complete the Product Backlog or next release by</t>
  </si>
  <si>
    <t>2.0n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</si>
</sst>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m/d/yy;@"/>
    <numFmt numFmtId="165" formatCode="0.000"/>
    <numFmt numFmtId="166" formatCode="0.0%"/>
    <numFmt numFmtId="167" formatCode="0.0"/>
  </numFmts>
  <fonts count="88"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
      <b/>
      <sz val="12"/>
      <name val="Calibri"/>
      <family val="2"/>
      <scheme val="minor"/>
    </font>
    <font>
      <sz val="12"/>
      <name val="Calibri"/>
      <family val="2"/>
      <scheme val="minor"/>
    </font>
    <font>
      <sz val="8"/>
      <color theme="1"/>
      <name val="Calibri"/>
      <family val="2"/>
      <scheme val="minor"/>
    </font>
    <font>
      <b/>
      <i/>
      <sz val="14"/>
      <color theme="1"/>
      <name val="Calibri"/>
      <family val="2"/>
      <scheme val="minor"/>
    </font>
    <font>
      <b/>
      <sz val="14"/>
      <color rgb="FF0000FF"/>
      <name val="Calibri"/>
      <family val="2"/>
      <scheme val="minor"/>
    </font>
    <font>
      <b/>
      <sz val="14"/>
      <color theme="1"/>
      <name val="Calibri"/>
      <family val="2"/>
      <scheme val="minor"/>
    </font>
    <font>
      <sz val="14"/>
      <color rgb="FF0000FF"/>
      <name val="Calibri"/>
      <family val="2"/>
      <scheme val="minor"/>
    </font>
  </fonts>
  <fills count="37">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rgb="FFFFCCCC"/>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83">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0" fillId="10" borderId="0" xfId="0" applyFill="1" applyAlignment="1">
      <alignment horizontal="right" indent="1"/>
    </xf>
    <xf numFmtId="0" fontId="19" fillId="10" borderId="0" xfId="0" applyFont="1" applyFill="1" applyAlignment="1">
      <alignment horizontal="right" indent="1"/>
    </xf>
    <xf numFmtId="0" fontId="0" fillId="10" borderId="0" xfId="0" applyFill="1" applyAlignment="1">
      <alignment horizontal="left" indent="1"/>
    </xf>
    <xf numFmtId="0" fontId="6" fillId="10" borderId="0" xfId="0" applyFont="1" applyFill="1" applyAlignment="1">
      <alignment horizontal="left" indent="1"/>
    </xf>
    <xf numFmtId="14" fontId="0" fillId="10" borderId="0" xfId="0" applyNumberFormat="1" applyFill="1" applyAlignment="1">
      <alignment horizontal="left" indent="1"/>
    </xf>
    <xf numFmtId="0" fontId="82" fillId="35" borderId="1" xfId="0" applyFont="1" applyFill="1" applyBorder="1" applyAlignment="1">
      <alignment horizontal="center" vertical="center"/>
    </xf>
    <xf numFmtId="3" fontId="11" fillId="3" borderId="1" xfId="0" applyNumberFormat="1" applyFont="1" applyFill="1" applyBorder="1" applyAlignment="1">
      <alignment horizontal="center" vertical="center"/>
    </xf>
    <xf numFmtId="0" fontId="0" fillId="6" borderId="1" xfId="0" applyFill="1" applyBorder="1" applyAlignment="1">
      <alignment horizontal="center" vertical="center"/>
    </xf>
    <xf numFmtId="0" fontId="1" fillId="7" borderId="1" xfId="0" applyFont="1" applyFill="1" applyBorder="1" applyAlignment="1">
      <alignment horizontal="center" vertical="center"/>
    </xf>
    <xf numFmtId="0" fontId="83" fillId="7" borderId="3" xfId="0" applyFont="1" applyFill="1" applyBorder="1" applyAlignment="1">
      <alignment horizontal="center" vertical="center"/>
    </xf>
    <xf numFmtId="0" fontId="1" fillId="30" borderId="15" xfId="0" applyFont="1" applyFill="1" applyBorder="1" applyAlignment="1">
      <alignment horizontal="center"/>
    </xf>
    <xf numFmtId="0" fontId="19" fillId="10" borderId="0" xfId="0" applyFont="1" applyFill="1" applyAlignment="1">
      <alignment horizontal="left" indent="1"/>
    </xf>
    <xf numFmtId="0" fontId="0" fillId="27" borderId="15" xfId="0" applyFill="1" applyBorder="1" applyAlignment="1">
      <alignment horizontal="center" vertical="center"/>
    </xf>
    <xf numFmtId="0" fontId="0" fillId="3" borderId="12" xfId="0" applyFill="1" applyBorder="1" applyAlignment="1">
      <alignment horizontal="center" vertical="center"/>
    </xf>
    <xf numFmtId="0" fontId="1" fillId="11" borderId="11" xfId="0" applyFont="1" applyFill="1" applyBorder="1" applyAlignment="1">
      <alignment horizontal="center"/>
    </xf>
    <xf numFmtId="0" fontId="81" fillId="35" borderId="11" xfId="0" applyFont="1" applyFill="1" applyBorder="1" applyAlignment="1">
      <alignment horizontal="center" vertical="center"/>
    </xf>
    <xf numFmtId="3" fontId="11" fillId="35" borderId="15" xfId="0" applyNumberFormat="1" applyFont="1" applyFill="1" applyBorder="1" applyAlignment="1">
      <alignment horizontal="center" vertical="center"/>
    </xf>
    <xf numFmtId="37" fontId="11" fillId="35" borderId="15" xfId="2" applyNumberFormat="1" applyFont="1" applyFill="1" applyBorder="1" applyAlignment="1">
      <alignment horizontal="center"/>
    </xf>
    <xf numFmtId="167" fontId="11" fillId="35" borderId="15" xfId="0" applyNumberFormat="1" applyFont="1" applyFill="1" applyBorder="1" applyAlignment="1">
      <alignment horizontal="center" vertical="center"/>
    </xf>
    <xf numFmtId="0" fontId="82" fillId="35" borderId="12" xfId="0" applyFont="1" applyFill="1" applyBorder="1" applyAlignment="1">
      <alignment horizontal="center" vertical="center"/>
    </xf>
    <xf numFmtId="0" fontId="0" fillId="7" borderId="15" xfId="0" applyFont="1" applyFill="1" applyBorder="1" applyAlignment="1">
      <alignment horizontal="center" vertical="center"/>
    </xf>
    <xf numFmtId="3" fontId="85" fillId="7" borderId="11" xfId="0" applyNumberFormat="1" applyFont="1" applyFill="1" applyBorder="1" applyAlignment="1">
      <alignment horizontal="center" vertical="center"/>
    </xf>
    <xf numFmtId="9" fontId="85" fillId="7" borderId="12" xfId="0" applyNumberFormat="1" applyFont="1" applyFill="1" applyBorder="1" applyAlignment="1">
      <alignment horizontal="center" vertical="center"/>
    </xf>
    <xf numFmtId="14" fontId="86" fillId="16" borderId="1" xfId="0" applyNumberFormat="1" applyFont="1" applyFill="1" applyBorder="1" applyAlignment="1">
      <alignment horizontal="center" vertical="center"/>
    </xf>
    <xf numFmtId="0" fontId="87" fillId="7" borderId="12" xfId="0" applyFont="1" applyFill="1" applyBorder="1" applyAlignment="1">
      <alignment horizontal="center" vertical="center"/>
    </xf>
    <xf numFmtId="14" fontId="87" fillId="7" borderId="11" xfId="0" applyNumberFormat="1" applyFont="1" applyFill="1" applyBorder="1" applyAlignment="1">
      <alignment horizontal="center" vertical="center"/>
    </xf>
    <xf numFmtId="0" fontId="87" fillId="7" borderId="15" xfId="0" applyFont="1" applyFill="1" applyBorder="1" applyAlignment="1">
      <alignment horizontal="center" vertical="center"/>
    </xf>
    <xf numFmtId="3" fontId="85" fillId="7" borderId="15" xfId="0" applyNumberFormat="1" applyFont="1" applyFill="1" applyBorder="1" applyAlignment="1">
      <alignment horizontal="center" vertical="center"/>
    </xf>
    <xf numFmtId="3" fontId="85" fillId="7" borderId="12" xfId="0" applyNumberFormat="1" applyFont="1" applyFill="1" applyBorder="1" applyAlignment="1">
      <alignment horizontal="center" vertical="center"/>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4" fillId="10" borderId="0" xfId="1" applyFill="1" applyAlignment="1">
      <alignment horizontal="left"/>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52" fillId="36" borderId="3" xfId="0" applyFont="1" applyFill="1" applyBorder="1" applyAlignment="1">
      <alignment horizontal="center" vertical="center"/>
    </xf>
    <xf numFmtId="0" fontId="52" fillId="36" borderId="13" xfId="0" applyFont="1" applyFill="1" applyBorder="1" applyAlignment="1">
      <alignment horizontal="center" vertical="center"/>
    </xf>
    <xf numFmtId="0" fontId="52" fillId="36" borderId="14" xfId="0" applyFont="1" applyFill="1" applyBorder="1" applyAlignment="1">
      <alignment horizontal="center" vertical="center"/>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8">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
      <numFmt numFmtId="168" formatCode="&quot;$&quot;#,##0"/>
    </dxf>
  </dxfs>
  <tableStyles count="0" defaultTableStyle="TableStyleMedium2" defaultPivotStyle="PivotStyleLight16"/>
  <colors>
    <mruColors>
      <color rgb="FF0000FF"/>
      <color rgb="FFFFFF99"/>
      <color rgb="FFF1592A"/>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0</xdr:colOff>
      <xdr:row>0</xdr:row>
      <xdr:rowOff>224518</xdr:rowOff>
    </xdr:to>
    <xdr:pic>
      <xdr:nvPicPr>
        <xdr:cNvPr id="2" name="Picture 1">
          <a:extLst>
            <a:ext uri="{FF2B5EF4-FFF2-40B4-BE49-F238E27FC236}">
              <a16:creationId xmlns:a16="http://schemas.microsoft.com/office/drawing/2014/main" id="{7AFB500F-7B90-4B43-961D-A47A6AD6FE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304800" cy="195942"/>
        </a:xfrm>
        <a:prstGeom prst="rect">
          <a:avLst/>
        </a:prstGeom>
      </xdr:spPr>
    </xdr:pic>
    <xdr:clientData/>
  </xdr:twoCellAnchor>
  <xdr:twoCellAnchor editAs="oneCell">
    <xdr:from>
      <xdr:col>22</xdr:col>
      <xdr:colOff>514350</xdr:colOff>
      <xdr:row>32</xdr:row>
      <xdr:rowOff>0</xdr:rowOff>
    </xdr:from>
    <xdr:to>
      <xdr:col>24</xdr:col>
      <xdr:colOff>761751</xdr:colOff>
      <xdr:row>33</xdr:row>
      <xdr:rowOff>114269</xdr:rowOff>
    </xdr:to>
    <xdr:pic>
      <xdr:nvPicPr>
        <xdr:cNvPr id="4" name="Picture 3">
          <a:extLst>
            <a:ext uri="{FF2B5EF4-FFF2-40B4-BE49-F238E27FC236}">
              <a16:creationId xmlns:a16="http://schemas.microsoft.com/office/drawing/2014/main" id="{6CAB187A-97A6-426F-9411-C41DEEAA0A88}"/>
            </a:ext>
          </a:extLst>
        </xdr:cNvPr>
        <xdr:cNvPicPr>
          <a:picLocks noChangeAspect="1"/>
        </xdr:cNvPicPr>
      </xdr:nvPicPr>
      <xdr:blipFill>
        <a:blip xmlns:r="http://schemas.openxmlformats.org/officeDocument/2006/relationships" r:embed="rId2"/>
        <a:stretch>
          <a:fillRect/>
        </a:stretch>
      </xdr:blipFill>
      <xdr:spPr>
        <a:xfrm>
          <a:off x="10239375" y="7181850"/>
          <a:ext cx="1990476" cy="247619"/>
        </a:xfrm>
        <a:prstGeom prst="rect">
          <a:avLst/>
        </a:prstGeom>
      </xdr:spPr>
    </xdr:pic>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7.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7.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2.0n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58" t="s">
        <v>125</v>
      </c>
      <c r="B9" s="258"/>
      <c r="C9" s="258"/>
      <c r="D9" s="258"/>
      <c r="E9" s="258"/>
      <c r="F9" s="17"/>
      <c r="G9" s="18"/>
      <c r="H9" s="84" t="s">
        <v>10</v>
      </c>
      <c r="I9" s="17"/>
      <c r="J9" s="17"/>
      <c r="K9" s="17"/>
      <c r="L9" s="17"/>
      <c r="M9" s="17"/>
      <c r="N9" s="262" t="s">
        <v>104</v>
      </c>
      <c r="O9" s="262"/>
      <c r="P9" s="262"/>
      <c r="Q9" s="262"/>
      <c r="R9" s="262"/>
      <c r="S9" s="262"/>
      <c r="T9" s="262"/>
      <c r="U9" s="262"/>
      <c r="V9" s="262"/>
      <c r="W9" s="262"/>
      <c r="X9" s="262"/>
      <c r="Y9" s="151"/>
      <c r="Z9" s="151"/>
      <c r="AA9" s="151"/>
      <c r="AB9" s="151"/>
      <c r="AC9" s="151"/>
      <c r="AD9" s="151"/>
      <c r="AE9" s="151"/>
      <c r="AF9" s="151"/>
      <c r="AG9" s="151"/>
      <c r="AH9" s="151"/>
      <c r="AI9" s="151"/>
      <c r="AJ9" s="151"/>
      <c r="AK9" s="151"/>
      <c r="AL9" s="151"/>
    </row>
    <row r="10" spans="1:38" x14ac:dyDescent="0.25">
      <c r="A10" s="258"/>
      <c r="B10" s="258"/>
      <c r="C10" s="258"/>
      <c r="D10" s="258"/>
      <c r="E10" s="258"/>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62"/>
      <c r="O10" s="262"/>
      <c r="P10" s="262"/>
      <c r="Q10" s="262"/>
      <c r="R10" s="262"/>
      <c r="S10" s="262"/>
      <c r="T10" s="262"/>
      <c r="U10" s="262"/>
      <c r="V10" s="262"/>
      <c r="W10" s="262"/>
      <c r="X10" s="262"/>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68" t="s">
        <v>680</v>
      </c>
      <c r="B15" s="268"/>
      <c r="C15" s="268"/>
      <c r="D15" s="268"/>
      <c r="E15" s="268"/>
      <c r="F15" s="268"/>
      <c r="G15" s="268"/>
      <c r="H15" s="268"/>
      <c r="I15" s="268"/>
      <c r="J15" s="268"/>
      <c r="K15" s="268"/>
      <c r="L15" s="268"/>
      <c r="M15" s="268"/>
      <c r="N15" s="269"/>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68"/>
      <c r="B16" s="268"/>
      <c r="C16" s="268"/>
      <c r="D16" s="268"/>
      <c r="E16" s="268"/>
      <c r="F16" s="268"/>
      <c r="G16" s="268"/>
      <c r="H16" s="268"/>
      <c r="I16" s="268"/>
      <c r="J16" s="268"/>
      <c r="K16" s="268"/>
      <c r="L16" s="268"/>
      <c r="M16" s="268"/>
      <c r="N16" s="269"/>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63" t="s">
        <v>77</v>
      </c>
      <c r="W21" s="264"/>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66" t="s">
        <v>15</v>
      </c>
      <c r="W23" s="266"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66"/>
      <c r="W24" s="266"/>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65" t="str">
        <f>VLOOKUP(V21,VLookups!A28:C29,3,FALSE)</f>
        <v>Show the likelihood that the SPERT estimates will be EQUAL TO or GREATER THAN an uncertainty</v>
      </c>
      <c r="Y28" s="265"/>
      <c r="Z28" s="265"/>
      <c r="AA28" s="265"/>
      <c r="AB28" s="265"/>
      <c r="AC28" s="265"/>
      <c r="AD28" s="265"/>
      <c r="AE28" s="265"/>
      <c r="AF28" s="265"/>
      <c r="AG28" s="265"/>
      <c r="AH28" s="265"/>
      <c r="AI28" s="265"/>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67" t="s">
        <v>144</v>
      </c>
      <c r="Y29" s="267"/>
      <c r="Z29" s="267"/>
      <c r="AA29" s="267"/>
      <c r="AB29" s="267"/>
      <c r="AC29" s="267"/>
      <c r="AD29" s="267"/>
      <c r="AE29" s="267"/>
      <c r="AF29" s="267"/>
      <c r="AG29" s="267"/>
      <c r="AH29" s="267"/>
      <c r="AI29" s="267"/>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59" t="s">
        <v>83</v>
      </c>
      <c r="C34" s="260"/>
      <c r="D34" s="261"/>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2.0n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70" t="s">
        <v>137</v>
      </c>
      <c r="C47" s="270"/>
      <c r="D47" s="270"/>
      <c r="E47" s="270"/>
      <c r="F47" s="270"/>
      <c r="G47" s="270"/>
      <c r="H47" s="270"/>
      <c r="I47" s="270"/>
      <c r="J47" s="270"/>
      <c r="K47" s="270"/>
      <c r="L47" s="270"/>
      <c r="M47" s="270"/>
      <c r="N47" s="270"/>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70" t="s">
        <v>136</v>
      </c>
      <c r="C48" s="270"/>
      <c r="D48" s="270"/>
      <c r="E48" s="270"/>
      <c r="F48" s="270"/>
      <c r="G48" s="270"/>
      <c r="H48" s="270"/>
      <c r="I48" s="270"/>
      <c r="J48" s="270"/>
      <c r="K48" s="270"/>
      <c r="L48" s="270"/>
      <c r="M48" s="270"/>
      <c r="N48" s="270"/>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70" t="s">
        <v>91</v>
      </c>
      <c r="C49" s="270"/>
      <c r="D49" s="270"/>
      <c r="E49" s="270"/>
      <c r="F49" s="270"/>
      <c r="G49" s="270"/>
      <c r="H49" s="270"/>
      <c r="I49" s="270"/>
      <c r="J49" s="270"/>
      <c r="K49" s="270"/>
      <c r="L49" s="270"/>
      <c r="M49" s="270"/>
      <c r="N49" s="270"/>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70" t="s">
        <v>149</v>
      </c>
      <c r="C50" s="270"/>
      <c r="D50" s="270"/>
      <c r="E50" s="270"/>
      <c r="F50" s="270"/>
      <c r="G50" s="270"/>
      <c r="H50" s="270"/>
      <c r="I50" s="270"/>
      <c r="J50" s="270"/>
      <c r="K50" s="270"/>
      <c r="L50" s="270"/>
      <c r="M50" s="270"/>
      <c r="N50" s="270"/>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70" t="s">
        <v>92</v>
      </c>
      <c r="C51" s="270"/>
      <c r="D51" s="270"/>
      <c r="E51" s="270"/>
      <c r="F51" s="270"/>
      <c r="G51" s="270"/>
      <c r="H51" s="270"/>
      <c r="I51" s="270"/>
      <c r="J51" s="270"/>
      <c r="K51" s="270"/>
      <c r="L51" s="270"/>
      <c r="M51" s="270"/>
      <c r="N51" s="270"/>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B51:N51"/>
    <mergeCell ref="B47:N47"/>
    <mergeCell ref="B48:N48"/>
    <mergeCell ref="B49:N49"/>
    <mergeCell ref="B50:N50"/>
    <mergeCell ref="A9:E10"/>
    <mergeCell ref="B34:D34"/>
    <mergeCell ref="N9:X10"/>
    <mergeCell ref="V21:W21"/>
    <mergeCell ref="X28:AI28"/>
    <mergeCell ref="V23:V24"/>
    <mergeCell ref="W23:W24"/>
    <mergeCell ref="X29:AI29"/>
    <mergeCell ref="A15:N16"/>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8"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8"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3" t="s">
        <v>77</v>
      </c>
      <c r="T1" s="264"/>
      <c r="U1" s="271" t="str">
        <f>VLOOKUP(S1,VLookups!A28:C29,3,FALSE)</f>
        <v>Show the likelihood that the SPERT estimates will be EQUAL TO or GREATER THAN an uncertainty</v>
      </c>
      <c r="V1" s="271"/>
      <c r="W1" s="271"/>
      <c r="X1" s="271"/>
      <c r="Y1" s="271"/>
      <c r="Z1" s="271"/>
      <c r="AA1" s="271"/>
      <c r="AB1" s="271"/>
      <c r="AC1" s="271"/>
      <c r="AD1" s="271"/>
      <c r="AE1" s="271"/>
      <c r="AF1" s="271"/>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66" t="s">
        <v>15</v>
      </c>
      <c r="T2" s="266" t="s">
        <v>96</v>
      </c>
      <c r="U2" s="267" t="s">
        <v>144</v>
      </c>
      <c r="V2" s="267"/>
      <c r="W2" s="267"/>
      <c r="X2" s="267"/>
      <c r="Y2" s="267"/>
      <c r="Z2" s="267"/>
      <c r="AA2" s="267"/>
      <c r="AB2" s="267"/>
      <c r="AC2" s="267"/>
      <c r="AD2" s="267"/>
      <c r="AE2" s="267"/>
      <c r="AF2" s="267"/>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66"/>
      <c r="T3" s="266"/>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59" t="s">
        <v>83</v>
      </c>
      <c r="C106" s="260"/>
      <c r="D106" s="261"/>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2.0n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70" t="s">
        <v>137</v>
      </c>
      <c r="C149" s="270"/>
      <c r="D149" s="270"/>
      <c r="E149" s="270"/>
      <c r="F149" s="270"/>
      <c r="G149" s="270"/>
      <c r="H149" s="270"/>
      <c r="I149" s="270"/>
      <c r="J149" s="270"/>
      <c r="K149" s="270"/>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70" t="s">
        <v>136</v>
      </c>
      <c r="C150" s="270"/>
      <c r="D150" s="270"/>
      <c r="E150" s="270"/>
      <c r="F150" s="270"/>
      <c r="G150" s="270"/>
      <c r="H150" s="270"/>
      <c r="I150" s="270"/>
      <c r="J150" s="270"/>
      <c r="K150" s="270"/>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70" t="s">
        <v>91</v>
      </c>
      <c r="C151" s="270"/>
      <c r="D151" s="270"/>
      <c r="E151" s="270"/>
      <c r="F151" s="270"/>
      <c r="G151" s="270"/>
      <c r="H151" s="270"/>
      <c r="I151" s="270"/>
      <c r="J151" s="270"/>
      <c r="K151" s="270"/>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70" t="s">
        <v>149</v>
      </c>
      <c r="C152" s="270"/>
      <c r="D152" s="270"/>
      <c r="E152" s="270"/>
      <c r="F152" s="270"/>
      <c r="G152" s="270"/>
      <c r="H152" s="270"/>
      <c r="I152" s="270"/>
      <c r="J152" s="270"/>
      <c r="K152" s="270"/>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70" t="s">
        <v>92</v>
      </c>
      <c r="C153" s="270"/>
      <c r="D153" s="270"/>
      <c r="E153" s="270"/>
      <c r="F153" s="270"/>
      <c r="G153" s="270"/>
      <c r="H153" s="270"/>
      <c r="I153" s="270"/>
      <c r="J153" s="270"/>
      <c r="K153" s="270"/>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B153:K153"/>
    <mergeCell ref="B149:K149"/>
    <mergeCell ref="B150:K150"/>
    <mergeCell ref="B151:K151"/>
    <mergeCell ref="B152:K152"/>
    <mergeCell ref="U1:AF1"/>
    <mergeCell ref="S2:S3"/>
    <mergeCell ref="T2:T3"/>
    <mergeCell ref="U2:AF2"/>
    <mergeCell ref="B106:D106"/>
    <mergeCell ref="S1:T1"/>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8"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8"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8"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63" t="s">
        <v>77</v>
      </c>
      <c r="T1" s="264"/>
      <c r="U1" s="271" t="str">
        <f>VLOOKUP(S1,VLookups!A28:C29,3,FALSE)</f>
        <v>Show the likelihood that the SPERT estimates will be EQUAL TO or GREATER THAN an uncertainty</v>
      </c>
      <c r="V1" s="271"/>
      <c r="W1" s="271"/>
      <c r="X1" s="271"/>
      <c r="Y1" s="271"/>
      <c r="Z1" s="271"/>
      <c r="AA1" s="271"/>
      <c r="AB1" s="271"/>
      <c r="AC1" s="271"/>
      <c r="AD1" s="271"/>
      <c r="AE1" s="271"/>
      <c r="AF1" s="271"/>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66" t="s">
        <v>15</v>
      </c>
      <c r="T2" s="266" t="s">
        <v>96</v>
      </c>
      <c r="U2" s="267" t="s">
        <v>144</v>
      </c>
      <c r="V2" s="267"/>
      <c r="W2" s="267"/>
      <c r="X2" s="267"/>
      <c r="Y2" s="267"/>
      <c r="Z2" s="267"/>
      <c r="AA2" s="267"/>
      <c r="AB2" s="267"/>
      <c r="AC2" s="267"/>
      <c r="AD2" s="267"/>
      <c r="AE2" s="267"/>
      <c r="AF2" s="267"/>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66"/>
      <c r="T3" s="266"/>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59" t="s">
        <v>83</v>
      </c>
      <c r="C106" s="260"/>
      <c r="D106" s="261"/>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2.0n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70" t="s">
        <v>137</v>
      </c>
      <c r="C150" s="270"/>
      <c r="D150" s="270"/>
      <c r="E150" s="270"/>
      <c r="F150" s="270"/>
      <c r="G150" s="270"/>
      <c r="H150" s="270"/>
      <c r="I150" s="270"/>
      <c r="J150" s="270"/>
      <c r="K150" s="270"/>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70" t="s">
        <v>136</v>
      </c>
      <c r="C151" s="270"/>
      <c r="D151" s="270"/>
      <c r="E151" s="270"/>
      <c r="F151" s="270"/>
      <c r="G151" s="270"/>
      <c r="H151" s="270"/>
      <c r="I151" s="270"/>
      <c r="J151" s="270"/>
      <c r="K151" s="270"/>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70" t="s">
        <v>91</v>
      </c>
      <c r="C152" s="270"/>
      <c r="D152" s="270"/>
      <c r="E152" s="270"/>
      <c r="F152" s="270"/>
      <c r="G152" s="270"/>
      <c r="H152" s="270"/>
      <c r="I152" s="270"/>
      <c r="J152" s="270"/>
      <c r="K152" s="270"/>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70" t="s">
        <v>149</v>
      </c>
      <c r="C153" s="270"/>
      <c r="D153" s="270"/>
      <c r="E153" s="270"/>
      <c r="F153" s="270"/>
      <c r="G153" s="270"/>
      <c r="H153" s="270"/>
      <c r="I153" s="270"/>
      <c r="J153" s="270"/>
      <c r="K153" s="270"/>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70" t="s">
        <v>92</v>
      </c>
      <c r="C154" s="270"/>
      <c r="D154" s="270"/>
      <c r="E154" s="270"/>
      <c r="F154" s="270"/>
      <c r="G154" s="270"/>
      <c r="H154" s="270"/>
      <c r="I154" s="270"/>
      <c r="J154" s="270"/>
      <c r="K154" s="270"/>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B154:K154"/>
    <mergeCell ref="B150:K150"/>
    <mergeCell ref="B151:K151"/>
    <mergeCell ref="B152:K152"/>
    <mergeCell ref="B153:K153"/>
    <mergeCell ref="U1:AF1"/>
    <mergeCell ref="S2:S3"/>
    <mergeCell ref="T2:T3"/>
    <mergeCell ref="U2:AF2"/>
    <mergeCell ref="B106:D106"/>
    <mergeCell ref="S1:T1"/>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8"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8"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8"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8"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8"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7"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63" t="s">
        <v>77</v>
      </c>
      <c r="X1" s="264"/>
      <c r="Y1" s="271" t="str">
        <f>VLOOKUP(W1,VLookups!A28:C29,3,FALSE)</f>
        <v>Show the likelihood that the SPERT estimates will be EQUAL TO or GREATER THAN an uncertainty</v>
      </c>
      <c r="Z1" s="271"/>
      <c r="AA1" s="271"/>
      <c r="AB1" s="271"/>
      <c r="AC1" s="271"/>
      <c r="AD1" s="271"/>
      <c r="AE1" s="271"/>
      <c r="AF1" s="271"/>
      <c r="AG1" s="271"/>
      <c r="AH1" s="271"/>
      <c r="AI1" s="271"/>
      <c r="AJ1" s="271"/>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66" t="s">
        <v>15</v>
      </c>
      <c r="X2" s="272" t="s">
        <v>96</v>
      </c>
      <c r="Y2" s="267" t="s">
        <v>144</v>
      </c>
      <c r="Z2" s="267"/>
      <c r="AA2" s="267"/>
      <c r="AB2" s="267"/>
      <c r="AC2" s="267"/>
      <c r="AD2" s="267"/>
      <c r="AE2" s="267"/>
      <c r="AF2" s="267"/>
      <c r="AG2" s="267"/>
      <c r="AH2" s="267"/>
      <c r="AI2" s="267"/>
      <c r="AJ2" s="267"/>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66"/>
      <c r="X3" s="272"/>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59" t="s">
        <v>83</v>
      </c>
      <c r="E106" s="260"/>
      <c r="F106" s="261"/>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4"/>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5"/>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5"/>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5"/>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5"/>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5"/>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5"/>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6"/>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2.0n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70" t="s">
        <v>137</v>
      </c>
      <c r="C150" s="270"/>
      <c r="D150" s="270"/>
      <c r="E150" s="270"/>
      <c r="F150" s="270"/>
      <c r="G150" s="270"/>
      <c r="H150" s="270"/>
      <c r="I150" s="270"/>
      <c r="J150" s="270"/>
      <c r="K150" s="270"/>
      <c r="L150" s="270"/>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70" t="s">
        <v>136</v>
      </c>
      <c r="C151" s="270"/>
      <c r="D151" s="270"/>
      <c r="E151" s="270"/>
      <c r="F151" s="270"/>
      <c r="G151" s="270"/>
      <c r="H151" s="270"/>
      <c r="I151" s="270"/>
      <c r="J151" s="270"/>
      <c r="K151" s="270"/>
      <c r="L151" s="270"/>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70" t="s">
        <v>91</v>
      </c>
      <c r="C152" s="270"/>
      <c r="D152" s="270"/>
      <c r="E152" s="270"/>
      <c r="F152" s="270"/>
      <c r="G152" s="270"/>
      <c r="H152" s="270"/>
      <c r="I152" s="270"/>
      <c r="J152" s="270"/>
      <c r="K152" s="270"/>
      <c r="L152" s="270"/>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70" t="s">
        <v>149</v>
      </c>
      <c r="C153" s="270"/>
      <c r="D153" s="270"/>
      <c r="E153" s="270"/>
      <c r="F153" s="270"/>
      <c r="G153" s="270"/>
      <c r="H153" s="270"/>
      <c r="I153" s="270"/>
      <c r="J153" s="270"/>
      <c r="K153" s="270"/>
      <c r="L153" s="270"/>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70" t="s">
        <v>92</v>
      </c>
      <c r="C154" s="270"/>
      <c r="D154" s="270"/>
      <c r="E154" s="270"/>
      <c r="F154" s="270"/>
      <c r="G154" s="270"/>
      <c r="H154" s="270"/>
      <c r="I154" s="270"/>
      <c r="J154" s="270"/>
      <c r="K154" s="270"/>
      <c r="L154" s="270"/>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B150:L150"/>
    <mergeCell ref="B151:L151"/>
    <mergeCell ref="B152:L152"/>
    <mergeCell ref="B154:L154"/>
    <mergeCell ref="W1:X1"/>
    <mergeCell ref="B153:L153"/>
    <mergeCell ref="Y1:AJ1"/>
    <mergeCell ref="W2:W3"/>
    <mergeCell ref="X2:X3"/>
    <mergeCell ref="Y2:AJ2"/>
    <mergeCell ref="D106:F106"/>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8"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8"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8"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8"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8"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63" t="s">
        <v>77</v>
      </c>
      <c r="S1" s="264"/>
      <c r="T1" s="271" t="str">
        <f>VLOOKUP(R1,VLookups!A28:C29,3,FALSE)</f>
        <v>Show the likelihood that the SPERT estimates will be EQUAL TO or GREATER THAN an uncertainty</v>
      </c>
      <c r="U1" s="271"/>
      <c r="V1" s="271"/>
      <c r="W1" s="271"/>
      <c r="X1" s="271"/>
      <c r="Y1" s="271"/>
      <c r="Z1" s="271"/>
      <c r="AA1" s="271"/>
      <c r="AB1" s="271"/>
      <c r="AC1" s="271"/>
      <c r="AD1" s="271"/>
      <c r="AE1" s="271"/>
      <c r="AF1" s="17"/>
      <c r="AG1" s="17"/>
      <c r="AH1" s="17"/>
    </row>
    <row r="2" spans="1:437" ht="15" customHeight="1" x14ac:dyDescent="0.25">
      <c r="A2" s="20"/>
      <c r="B2" s="17"/>
      <c r="C2" s="17"/>
      <c r="D2" s="17"/>
      <c r="E2" s="17"/>
      <c r="F2" s="17"/>
      <c r="G2" s="18"/>
      <c r="H2" s="17"/>
      <c r="I2" s="17"/>
      <c r="J2" s="17"/>
      <c r="K2" s="18"/>
      <c r="L2" s="17"/>
      <c r="M2" s="17"/>
      <c r="N2" s="17"/>
      <c r="O2" s="17"/>
      <c r="P2" s="17"/>
      <c r="Q2" s="17"/>
      <c r="R2" s="273" t="s">
        <v>15</v>
      </c>
      <c r="S2" s="273" t="s">
        <v>69</v>
      </c>
      <c r="T2" s="267" t="s">
        <v>144</v>
      </c>
      <c r="U2" s="267"/>
      <c r="V2" s="267"/>
      <c r="W2" s="267"/>
      <c r="X2" s="267"/>
      <c r="Y2" s="267"/>
      <c r="Z2" s="267"/>
      <c r="AA2" s="267"/>
      <c r="AB2" s="267"/>
      <c r="AC2" s="267"/>
      <c r="AD2" s="267"/>
      <c r="AE2" s="267"/>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74"/>
      <c r="S3" s="274"/>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2.0n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70" t="s">
        <v>137</v>
      </c>
      <c r="C26" s="270"/>
      <c r="D26" s="270"/>
      <c r="E26" s="270"/>
      <c r="F26" s="270"/>
      <c r="G26" s="270"/>
      <c r="H26" s="270"/>
      <c r="I26" s="270"/>
      <c r="J26" s="270"/>
      <c r="K26" s="270"/>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70" t="s">
        <v>136</v>
      </c>
      <c r="C27" s="270"/>
      <c r="D27" s="270"/>
      <c r="E27" s="270"/>
      <c r="F27" s="270"/>
      <c r="G27" s="270"/>
      <c r="H27" s="270"/>
      <c r="I27" s="270"/>
      <c r="J27" s="270"/>
      <c r="K27" s="270"/>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70" t="s">
        <v>91</v>
      </c>
      <c r="C28" s="270"/>
      <c r="D28" s="270"/>
      <c r="E28" s="270"/>
      <c r="F28" s="270"/>
      <c r="G28" s="270"/>
      <c r="H28" s="270"/>
      <c r="I28" s="270"/>
      <c r="J28" s="270"/>
      <c r="K28" s="270"/>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70" t="s">
        <v>149</v>
      </c>
      <c r="C29" s="270"/>
      <c r="D29" s="270"/>
      <c r="E29" s="270"/>
      <c r="F29" s="270"/>
      <c r="G29" s="270"/>
      <c r="H29" s="270"/>
      <c r="I29" s="270"/>
      <c r="J29" s="270"/>
      <c r="K29" s="270"/>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70" t="s">
        <v>92</v>
      </c>
      <c r="C30" s="270"/>
      <c r="D30" s="270"/>
      <c r="E30" s="270"/>
      <c r="F30" s="270"/>
      <c r="G30" s="270"/>
      <c r="H30" s="270"/>
      <c r="I30" s="270"/>
      <c r="J30" s="270"/>
      <c r="K30" s="270"/>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B30:K30"/>
    <mergeCell ref="B26:K26"/>
    <mergeCell ref="B27:K27"/>
    <mergeCell ref="B28:K28"/>
    <mergeCell ref="B29:K29"/>
    <mergeCell ref="T1:AE1"/>
    <mergeCell ref="T2:AE2"/>
    <mergeCell ref="R2:R3"/>
    <mergeCell ref="S2:S3"/>
    <mergeCell ref="R1:S1"/>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8"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8"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9B78-3021-4626-98D1-CE4082AE025E}">
  <dimension ref="A1:AL154"/>
  <sheetViews>
    <sheetView workbookViewId="0">
      <selection activeCell="C3" sqref="C3"/>
    </sheetView>
  </sheetViews>
  <sheetFormatPr defaultColWidth="8.7109375" defaultRowHeight="15" x14ac:dyDescent="0.25"/>
  <cols>
    <col min="1" max="1" width="5.7109375" style="19" customWidth="1"/>
    <col min="2" max="2" width="53.140625" style="19" customWidth="1"/>
    <col min="3" max="3" width="25.5703125" style="19" bestFit="1" customWidth="1"/>
    <col min="4" max="4" width="13.7109375" style="19" customWidth="1"/>
    <col min="5" max="5" width="4.7109375" style="19" customWidth="1"/>
    <col min="6" max="6" width="8.7109375" style="19" customWidth="1"/>
    <col min="7" max="7" width="8.7109375" style="38" customWidth="1"/>
    <col min="8" max="8" width="22.7109375" style="19" customWidth="1"/>
    <col min="9" max="9" width="4.7109375" style="19" customWidth="1"/>
    <col min="10" max="13" width="8.5703125" style="19" customWidth="1"/>
    <col min="14" max="14" width="26.7109375" style="38" customWidth="1"/>
    <col min="15" max="15" width="7.7109375" style="38" customWidth="1"/>
    <col min="16" max="16" width="4.7109375" style="19" customWidth="1"/>
    <col min="17" max="18" width="6.5703125" style="19" customWidth="1"/>
    <col min="19" max="20" width="11.7109375" style="19" customWidth="1"/>
    <col min="21" max="21" width="12.5703125" style="19"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13" t="s">
        <v>123</v>
      </c>
      <c r="C1" s="275" t="s">
        <v>748</v>
      </c>
      <c r="D1" s="276"/>
      <c r="E1" s="276"/>
      <c r="F1" s="276"/>
      <c r="G1" s="276"/>
      <c r="H1" s="27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229"/>
      <c r="C2" s="239" t="s">
        <v>749</v>
      </c>
      <c r="D2" s="17"/>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18" customHeight="1" x14ac:dyDescent="0.25">
      <c r="A3" s="20"/>
      <c r="B3" s="229" t="s">
        <v>717</v>
      </c>
      <c r="C3" s="254">
        <v>43654</v>
      </c>
      <c r="D3" s="17"/>
      <c r="E3" s="17"/>
      <c r="F3" s="17"/>
      <c r="G3" s="18"/>
      <c r="H3" s="17"/>
      <c r="I3" s="17"/>
      <c r="J3" s="17"/>
      <c r="K3" s="17"/>
      <c r="L3" s="17"/>
      <c r="M3" s="17"/>
      <c r="N3" s="18"/>
      <c r="O3" s="18"/>
      <c r="P3" s="17"/>
      <c r="Q3" s="17"/>
      <c r="R3" s="17"/>
      <c r="S3" s="220" t="e">
        <f>IF(AND(C7&gt;0,C5&gt;0,C8&gt;0,C19&gt;0,C20&gt;0,C10&gt;0,NOT(C6="")),ABS(VLOOKUP($C$21,VLookups!$A$28:$B$29,2,FALSE)-_xlfn.BETA.DIST(C10,IF(C15="L",C20,C19),IF(C15="L",C19,C20),TRUE,C7,C8)),"")</f>
        <v>#NUM!</v>
      </c>
      <c r="T3" s="17"/>
      <c r="U3" s="17"/>
      <c r="V3" s="17"/>
      <c r="W3" s="17"/>
      <c r="X3" s="17"/>
      <c r="Y3" s="17"/>
      <c r="Z3" s="17"/>
      <c r="AA3" s="17"/>
      <c r="AB3" s="17"/>
      <c r="AC3" s="17"/>
      <c r="AD3" s="17"/>
      <c r="AE3" s="17"/>
      <c r="AF3" s="17"/>
      <c r="AG3" s="17"/>
      <c r="AH3" s="17"/>
      <c r="AI3" s="17"/>
      <c r="AJ3" s="17"/>
      <c r="AK3" s="17"/>
      <c r="AL3" s="17"/>
    </row>
    <row r="4" spans="1:38" ht="18" customHeight="1" x14ac:dyDescent="0.25">
      <c r="A4" s="20"/>
      <c r="B4" s="229" t="s">
        <v>718</v>
      </c>
      <c r="C4" s="255">
        <v>2</v>
      </c>
      <c r="D4" s="231" t="s">
        <v>754</v>
      </c>
      <c r="E4" s="17"/>
      <c r="F4" s="17"/>
      <c r="G4" s="18"/>
      <c r="H4" s="17"/>
      <c r="I4" s="17"/>
      <c r="J4" s="17"/>
      <c r="K4" s="17"/>
      <c r="L4" s="17"/>
      <c r="M4" s="17"/>
      <c r="N4" s="18"/>
      <c r="O4" s="18"/>
      <c r="P4" s="17"/>
      <c r="Q4" s="17"/>
      <c r="R4" s="17"/>
      <c r="S4" s="17"/>
      <c r="T4" s="17"/>
      <c r="U4" s="17"/>
      <c r="V4" s="17"/>
      <c r="W4" s="17"/>
      <c r="X4" s="17"/>
      <c r="Y4" s="17"/>
      <c r="Z4" s="17"/>
      <c r="AA4" s="17"/>
      <c r="AB4" s="17"/>
      <c r="AC4" s="17"/>
      <c r="AD4" s="17"/>
      <c r="AE4" s="17"/>
      <c r="AF4" s="17"/>
      <c r="AG4" s="17"/>
      <c r="AH4" s="17"/>
      <c r="AI4" s="17"/>
      <c r="AJ4" s="17"/>
      <c r="AK4" s="17"/>
      <c r="AL4" s="17"/>
    </row>
    <row r="5" spans="1:38" ht="18" customHeight="1" x14ac:dyDescent="0.25">
      <c r="A5" s="20"/>
      <c r="B5" s="229" t="s">
        <v>719</v>
      </c>
      <c r="C5" s="256">
        <v>40</v>
      </c>
      <c r="D5" s="231" t="s">
        <v>732</v>
      </c>
      <c r="E5" s="17"/>
      <c r="F5" s="17"/>
      <c r="G5" s="18"/>
      <c r="H5" s="17"/>
      <c r="I5" s="17"/>
      <c r="J5" s="17"/>
      <c r="K5" s="17"/>
      <c r="L5" s="17"/>
      <c r="M5" s="17"/>
      <c r="N5" s="18"/>
      <c r="O5" s="18"/>
      <c r="P5" s="17"/>
      <c r="Q5" s="17"/>
      <c r="R5" s="17"/>
      <c r="S5" s="17"/>
      <c r="T5" s="17"/>
      <c r="U5" s="17"/>
      <c r="V5" s="17"/>
      <c r="W5" s="17"/>
      <c r="X5" s="17"/>
      <c r="Y5" s="17"/>
      <c r="Z5" s="17"/>
      <c r="AA5" s="17"/>
      <c r="AB5" s="17"/>
      <c r="AC5" s="17"/>
      <c r="AD5" s="17"/>
      <c r="AE5" s="17"/>
      <c r="AF5" s="17"/>
      <c r="AG5" s="17"/>
      <c r="AH5" s="17"/>
      <c r="AI5" s="17"/>
      <c r="AJ5" s="17"/>
      <c r="AK5" s="17"/>
      <c r="AL5" s="17"/>
    </row>
    <row r="6" spans="1:38" ht="15" customHeight="1" x14ac:dyDescent="0.25">
      <c r="A6" s="20"/>
      <c r="B6" s="229" t="s">
        <v>720</v>
      </c>
      <c r="C6" s="249" t="s">
        <v>28</v>
      </c>
      <c r="D6" s="231" t="s">
        <v>733</v>
      </c>
      <c r="E6" s="17"/>
      <c r="F6" s="17"/>
      <c r="G6" s="18"/>
      <c r="H6" s="17"/>
      <c r="I6" s="17"/>
      <c r="J6" s="17"/>
      <c r="K6" s="17"/>
      <c r="L6" s="17"/>
      <c r="M6" s="17"/>
      <c r="N6" s="18"/>
      <c r="O6" s="18"/>
      <c r="P6" s="17"/>
      <c r="Q6" s="17"/>
      <c r="R6" s="17"/>
      <c r="S6" s="17"/>
      <c r="T6" s="17"/>
      <c r="U6" s="17"/>
      <c r="V6" s="17"/>
      <c r="W6" s="17"/>
      <c r="X6" s="17"/>
      <c r="Y6" s="17"/>
      <c r="Z6" s="17"/>
      <c r="AA6" s="17"/>
      <c r="AB6" s="17"/>
      <c r="AC6" s="17"/>
      <c r="AD6" s="17"/>
      <c r="AE6" s="17"/>
      <c r="AF6" s="17"/>
      <c r="AG6" s="17"/>
      <c r="AH6" s="17"/>
      <c r="AI6" s="17"/>
      <c r="AJ6" s="17"/>
      <c r="AK6" s="17"/>
      <c r="AL6" s="17"/>
    </row>
    <row r="7" spans="1:38" ht="18" customHeight="1" x14ac:dyDescent="0.25">
      <c r="A7" s="20"/>
      <c r="B7" s="229" t="s">
        <v>721</v>
      </c>
      <c r="C7" s="256">
        <v>10</v>
      </c>
      <c r="D7" s="231" t="s">
        <v>734</v>
      </c>
      <c r="E7" s="17"/>
      <c r="F7" s="17"/>
      <c r="G7" s="18"/>
      <c r="H7" s="17"/>
      <c r="I7" s="17"/>
      <c r="J7" s="17"/>
      <c r="K7" s="17"/>
      <c r="L7" s="17"/>
      <c r="M7" s="17"/>
      <c r="N7" s="18"/>
      <c r="O7" s="18"/>
      <c r="P7" s="17"/>
      <c r="Q7" s="17"/>
      <c r="R7" s="17"/>
      <c r="S7" s="17"/>
      <c r="T7" s="17"/>
      <c r="U7" s="17"/>
      <c r="V7" s="17"/>
      <c r="W7" s="17"/>
      <c r="X7" s="17"/>
      <c r="Y7" s="17"/>
      <c r="Z7" s="17"/>
      <c r="AA7" s="17"/>
      <c r="AB7" s="17"/>
      <c r="AC7" s="17"/>
      <c r="AD7" s="17"/>
      <c r="AE7" s="17"/>
      <c r="AF7" s="17"/>
      <c r="AG7" s="17"/>
      <c r="AH7" s="17"/>
      <c r="AI7" s="17"/>
      <c r="AJ7" s="17"/>
      <c r="AK7" s="17"/>
      <c r="AL7" s="17"/>
    </row>
    <row r="8" spans="1:38" ht="18" customHeight="1" x14ac:dyDescent="0.25">
      <c r="A8" s="20"/>
      <c r="B8" s="229" t="s">
        <v>722</v>
      </c>
      <c r="C8" s="257">
        <v>70</v>
      </c>
      <c r="D8" s="231" t="s">
        <v>735</v>
      </c>
      <c r="E8" s="17"/>
      <c r="F8" s="17"/>
      <c r="G8" s="18"/>
      <c r="H8" s="17"/>
      <c r="I8" s="17"/>
      <c r="J8" s="17"/>
      <c r="K8" s="17"/>
      <c r="L8" s="17"/>
      <c r="M8" s="17"/>
      <c r="N8" s="18"/>
      <c r="O8" s="18"/>
      <c r="P8" s="17"/>
      <c r="Q8" s="17"/>
      <c r="R8" s="17"/>
      <c r="S8" s="17"/>
      <c r="T8" s="17"/>
      <c r="U8" s="17"/>
      <c r="V8" s="17"/>
      <c r="W8" s="17"/>
      <c r="X8" s="17"/>
      <c r="Y8" s="17"/>
      <c r="Z8" s="17"/>
      <c r="AA8" s="17"/>
      <c r="AB8" s="17"/>
      <c r="AC8" s="17"/>
      <c r="AD8" s="17"/>
      <c r="AE8" s="17"/>
      <c r="AF8" s="17"/>
      <c r="AG8" s="17"/>
      <c r="AH8" s="17"/>
      <c r="AI8" s="17"/>
      <c r="AJ8" s="17"/>
      <c r="AK8" s="17"/>
      <c r="AL8" s="17"/>
    </row>
    <row r="9" spans="1:38" ht="15" customHeight="1" x14ac:dyDescent="0.25">
      <c r="A9" s="20"/>
      <c r="B9" s="229"/>
      <c r="C9" s="241">
        <f>IF(OR(ISBLANK(C5),ISBLANK(C8),ISBLANK(C7)),"",IF(OR(C7=0,C5=0,C8=0),-1,IF(AND(C7&gt;0,C5&gt;0,C8&gt;0),IF(OR(C5&gt;C7,C5=C7),IF(OR(C8&gt;C5,C8=C5),1,-1),-1))))</f>
        <v>1</v>
      </c>
      <c r="D9" s="240" t="s">
        <v>752</v>
      </c>
      <c r="E9" s="17"/>
      <c r="F9" s="17"/>
      <c r="G9" s="18"/>
      <c r="H9" s="17"/>
      <c r="I9" s="17"/>
      <c r="J9" s="17"/>
      <c r="K9" s="17"/>
      <c r="L9" s="17"/>
      <c r="M9" s="17"/>
      <c r="N9" s="18"/>
      <c r="O9" s="18"/>
      <c r="P9" s="17"/>
      <c r="Q9" s="17"/>
      <c r="R9" s="17"/>
      <c r="S9" s="17"/>
      <c r="T9" s="17"/>
      <c r="U9" s="17"/>
      <c r="V9" s="17"/>
      <c r="W9" s="17"/>
      <c r="X9" s="17"/>
      <c r="Y9" s="17"/>
      <c r="Z9" s="17"/>
      <c r="AA9" s="17"/>
      <c r="AB9" s="17"/>
      <c r="AC9" s="17"/>
      <c r="AD9" s="17"/>
      <c r="AE9" s="17"/>
      <c r="AF9" s="17"/>
      <c r="AG9" s="17"/>
      <c r="AH9" s="17"/>
      <c r="AI9" s="17"/>
      <c r="AJ9" s="17"/>
      <c r="AK9" s="17"/>
      <c r="AL9" s="17"/>
    </row>
    <row r="10" spans="1:38" ht="18" customHeight="1" x14ac:dyDescent="0.25">
      <c r="A10" s="20"/>
      <c r="B10" s="229" t="s">
        <v>723</v>
      </c>
      <c r="C10" s="250">
        <v>255</v>
      </c>
      <c r="D10" s="231" t="s">
        <v>736</v>
      </c>
      <c r="E10" s="17"/>
      <c r="F10" s="17"/>
      <c r="G10" s="18"/>
      <c r="H10" s="17"/>
      <c r="I10" s="17"/>
      <c r="J10" s="17"/>
      <c r="K10" s="17"/>
      <c r="L10" s="17"/>
      <c r="M10" s="17"/>
      <c r="N10" s="18"/>
      <c r="O10" s="18"/>
      <c r="P10" s="17"/>
      <c r="Q10" s="17"/>
      <c r="R10" s="17"/>
      <c r="S10" s="17"/>
      <c r="T10" s="17"/>
      <c r="U10" s="17"/>
      <c r="V10" s="17"/>
      <c r="W10" s="17"/>
      <c r="X10" s="17"/>
      <c r="Y10" s="17"/>
      <c r="Z10" s="17"/>
      <c r="AA10" s="17"/>
      <c r="AB10" s="17"/>
      <c r="AC10" s="17"/>
      <c r="AD10" s="17"/>
      <c r="AE10" s="17"/>
      <c r="AF10" s="17"/>
      <c r="AG10" s="17"/>
      <c r="AH10" s="17"/>
      <c r="AI10" s="17"/>
      <c r="AJ10" s="17"/>
      <c r="AK10" s="17"/>
      <c r="AL10" s="17"/>
    </row>
    <row r="11" spans="1:38" ht="18" customHeight="1" x14ac:dyDescent="0.25">
      <c r="A11" s="20"/>
      <c r="B11" s="229" t="s">
        <v>724</v>
      </c>
      <c r="C11" s="251">
        <v>0.8</v>
      </c>
      <c r="D11" s="231" t="s">
        <v>737</v>
      </c>
      <c r="E11" s="17"/>
      <c r="F11" s="17"/>
      <c r="G11" s="18"/>
      <c r="H11" s="17"/>
      <c r="I11" s="17"/>
      <c r="J11" s="17"/>
      <c r="K11" s="17"/>
      <c r="L11" s="17"/>
      <c r="M11" s="17"/>
      <c r="N11" s="18"/>
      <c r="O11" s="18"/>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15" hidden="1" customHeight="1" x14ac:dyDescent="0.25">
      <c r="A12" s="20"/>
      <c r="B12" s="229"/>
      <c r="C12" s="242" t="str">
        <f>IF(C14="","",IF(OR($C14&lt;Skew!$B$1,$C14=Skew!$B$1),IF($C14&gt;Skew!$C$1,Skew!$A$1,IF($C14&gt;Skew!$C$2,Skew!$A$2,IF($C14&gt;Skew!$C$3,Skew!$A$3,IF($C14&gt;Skew!$C$4,Skew!$A$4,IF($C14&gt;Skew!$C$5,Skew!$A$5,IF($C14&gt;Skew!$C$6,Skew!$A$6,IF($C14&gt;Skew!$C$7,Skew!$A$7,IF($C14&gt;Skew!$C$8,Skew!$A$8,IF($C14&gt;Skew!$C$9,Skew!$A$9,IF($C14&gt;Skew!$C$10,Skew!$A$10,IF($C14&gt;Skew!$C$11,Skew!$A$11,IF($C14&gt;Skew!$C$12,Skew!$A$12,IF($C14&gt;Skew!$C$13,Skew!$A$13,IF($C14&gt;Skew!$C$14,Skew!$A$14,Skew!$A$15)
)))))))))))))))</f>
        <v>No skew</v>
      </c>
      <c r="D12" s="231"/>
      <c r="E12" s="17"/>
      <c r="F12" s="17"/>
      <c r="G12" s="18"/>
      <c r="H12" s="17"/>
      <c r="I12" s="17"/>
      <c r="J12" s="17"/>
      <c r="K12" s="17"/>
      <c r="L12" s="17"/>
      <c r="M12" s="17"/>
      <c r="N12" s="18"/>
      <c r="O12" s="18"/>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15" hidden="1" customHeight="1" x14ac:dyDescent="0.25">
      <c r="A13" s="20"/>
      <c r="B13" s="229" t="s">
        <v>744</v>
      </c>
      <c r="C13" s="235">
        <f>IF(OR(C14="",C6=""),"",IF(C15="R",((C8-C7)*(INDEX(Mean_Ratios,C16,C18)))+C7,((C8-C7)*(1-INDEX(Mean_Ratios,C16,C18)))+C7))</f>
        <v>40</v>
      </c>
      <c r="D13" s="231"/>
      <c r="E13" s="17"/>
      <c r="F13" s="17"/>
      <c r="G13" s="18"/>
      <c r="H13" s="17"/>
      <c r="I13" s="17"/>
      <c r="J13" s="17"/>
      <c r="K13" s="17"/>
      <c r="L13" s="17"/>
      <c r="M13" s="17"/>
      <c r="N13" s="18"/>
      <c r="O13" s="18"/>
      <c r="P13" s="17"/>
      <c r="Q13" s="17"/>
      <c r="R13" s="17"/>
      <c r="S13" s="17"/>
      <c r="T13" s="17"/>
      <c r="U13" s="17"/>
      <c r="V13" s="17"/>
      <c r="W13" s="17"/>
      <c r="X13" s="17"/>
      <c r="Y13" s="17"/>
      <c r="Z13" s="17"/>
      <c r="AA13" s="17"/>
      <c r="AB13" s="17"/>
      <c r="AC13" s="17"/>
      <c r="AD13" s="17"/>
      <c r="AE13" s="17"/>
      <c r="AF13" s="17"/>
      <c r="AG13" s="17"/>
      <c r="AH13" s="17"/>
      <c r="AI13" s="17"/>
      <c r="AJ13" s="17"/>
      <c r="AK13" s="17"/>
      <c r="AL13" s="17"/>
    </row>
    <row r="14" spans="1:38" ht="15" hidden="1" customHeight="1" x14ac:dyDescent="0.25">
      <c r="A14" s="20"/>
      <c r="B14" s="229"/>
      <c r="C14" s="236">
        <f>IF(AND(C7&gt;0,C5&gt;0,C8&gt;0),MIN(((C5-C7)/(C8-C7))*100,((C8-C5)/(C8-C7))*100),"")</f>
        <v>50</v>
      </c>
      <c r="D14" s="231"/>
      <c r="E14" s="17"/>
      <c r="F14" s="17"/>
      <c r="G14" s="18"/>
      <c r="H14" s="17"/>
      <c r="I14" s="17"/>
      <c r="J14" s="17"/>
      <c r="K14" s="17"/>
      <c r="L14" s="17"/>
      <c r="M14" s="17"/>
      <c r="N14" s="18"/>
      <c r="O14" s="18"/>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hidden="1" customHeight="1" x14ac:dyDescent="0.25">
      <c r="A15" s="20"/>
      <c r="B15" s="229"/>
      <c r="C15" s="236" t="str">
        <f>IF(AND(C7&gt;0,C5&gt;0,C8&gt;0),IF((C5-C7)&gt;(C8-C5),"L",IF((C5-C7)=(C8-C5),"EQ","R")),"")</f>
        <v>EQ</v>
      </c>
      <c r="D15" s="231"/>
      <c r="E15" s="17"/>
      <c r="F15" s="17"/>
      <c r="G15" s="18"/>
      <c r="H15" s="17"/>
      <c r="I15" s="17"/>
      <c r="J15" s="17"/>
      <c r="K15" s="17"/>
      <c r="L15" s="17"/>
      <c r="M15" s="17"/>
      <c r="N15" s="18"/>
      <c r="O15" s="18"/>
      <c r="P15" s="17"/>
      <c r="Q15" s="17"/>
      <c r="R15" s="17"/>
      <c r="S15" s="17"/>
      <c r="T15" s="17"/>
      <c r="U15" s="17"/>
      <c r="V15" s="17"/>
      <c r="W15" s="17"/>
      <c r="X15" s="17"/>
      <c r="Y15" s="17"/>
      <c r="Z15" s="17"/>
      <c r="AA15" s="17"/>
      <c r="AB15" s="17"/>
      <c r="AC15" s="17"/>
      <c r="AD15" s="17"/>
      <c r="AE15" s="17"/>
      <c r="AF15" s="17"/>
      <c r="AG15" s="17"/>
      <c r="AH15" s="17"/>
      <c r="AI15" s="17"/>
      <c r="AJ15" s="17"/>
      <c r="AK15" s="17"/>
      <c r="AL15" s="17"/>
    </row>
    <row r="16" spans="1:38" ht="15" hidden="1" customHeight="1" x14ac:dyDescent="0.25">
      <c r="A16" s="20"/>
      <c r="B16" s="229"/>
      <c r="C16" s="236">
        <f>IF(C14="","",MATCH(C12,Skew!$A$1:$A$15,0))</f>
        <v>1</v>
      </c>
      <c r="D16" s="231"/>
      <c r="E16" s="17"/>
      <c r="F16" s="17"/>
      <c r="G16" s="18"/>
      <c r="H16" s="17"/>
      <c r="I16" s="17"/>
      <c r="J16" s="17"/>
      <c r="K16" s="17"/>
      <c r="L16" s="17"/>
      <c r="M16" s="17"/>
      <c r="N16" s="18"/>
      <c r="O16" s="18"/>
      <c r="P16" s="17"/>
      <c r="Q16" s="17"/>
      <c r="R16" s="17"/>
      <c r="S16" s="17"/>
      <c r="T16" s="17"/>
      <c r="U16" s="17"/>
      <c r="V16" s="17"/>
      <c r="W16" s="17"/>
      <c r="X16" s="17"/>
      <c r="Y16" s="17"/>
      <c r="Z16" s="17"/>
      <c r="AA16" s="17"/>
      <c r="AB16" s="17"/>
      <c r="AC16" s="17"/>
      <c r="AD16" s="17"/>
      <c r="AE16" s="17"/>
      <c r="AF16" s="17"/>
      <c r="AG16" s="17"/>
      <c r="AH16" s="17"/>
      <c r="AI16" s="17"/>
      <c r="AJ16" s="17"/>
      <c r="AK16" s="17"/>
      <c r="AL16" s="17"/>
    </row>
    <row r="17" spans="1:38" ht="15" hidden="1" customHeight="1" x14ac:dyDescent="0.25">
      <c r="A17" s="20"/>
      <c r="B17" s="229"/>
      <c r="C17" s="236">
        <f>IF(AND(C7&gt;0,C5&gt;0,C8&gt;0),C7+((C8-C7)/2),"")</f>
        <v>40</v>
      </c>
      <c r="D17" s="231"/>
      <c r="E17" s="17"/>
      <c r="F17" s="17"/>
      <c r="G17" s="18"/>
      <c r="H17" s="17"/>
      <c r="I17" s="17"/>
      <c r="J17" s="17"/>
      <c r="K17" s="17"/>
      <c r="L17" s="17"/>
      <c r="M17" s="17"/>
      <c r="N17" s="18"/>
      <c r="O17" s="18"/>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hidden="1" customHeight="1" x14ac:dyDescent="0.25">
      <c r="A18" s="20"/>
      <c r="B18" s="229"/>
      <c r="C18" s="236">
        <f>IF(OR(C14="",C6=""),"",MATCH(C6,Confidence!$A$1:$A$10,0))</f>
        <v>8</v>
      </c>
      <c r="D18" s="231"/>
      <c r="E18" s="17"/>
      <c r="F18" s="17"/>
      <c r="G18" s="18"/>
      <c r="H18" s="17"/>
      <c r="I18" s="17"/>
      <c r="J18" s="17"/>
      <c r="K18" s="17"/>
      <c r="L18" s="17"/>
      <c r="M18" s="17"/>
      <c r="N18" s="18"/>
      <c r="O18" s="18"/>
      <c r="P18" s="17"/>
      <c r="Q18" s="17"/>
      <c r="R18" s="17"/>
      <c r="S18" s="17"/>
      <c r="T18" s="17"/>
      <c r="U18" s="17"/>
      <c r="V18" s="17"/>
      <c r="W18" s="17"/>
      <c r="X18" s="17"/>
      <c r="Y18" s="17"/>
      <c r="Z18" s="17"/>
      <c r="AA18" s="17"/>
      <c r="AB18" s="17"/>
      <c r="AC18" s="17"/>
      <c r="AD18" s="17"/>
      <c r="AE18" s="17"/>
      <c r="AF18" s="17"/>
      <c r="AG18" s="17"/>
      <c r="AH18" s="17"/>
      <c r="AI18" s="17"/>
      <c r="AJ18" s="17"/>
      <c r="AK18" s="17"/>
      <c r="AL18" s="17"/>
    </row>
    <row r="19" spans="1:38" ht="15" hidden="1" customHeight="1" x14ac:dyDescent="0.25">
      <c r="A19" s="20"/>
      <c r="B19" s="229" t="s">
        <v>745</v>
      </c>
      <c r="C19" s="27">
        <f>IF(OR(C14="",C6=""),"",INDEX(Alpha_Chart,C16,C18))</f>
        <v>2</v>
      </c>
      <c r="D19" s="231"/>
      <c r="E19" s="17"/>
      <c r="F19" s="17"/>
      <c r="G19" s="18"/>
      <c r="H19" s="17"/>
      <c r="I19" s="17"/>
      <c r="J19" s="17"/>
      <c r="K19" s="17"/>
      <c r="L19" s="17"/>
      <c r="M19" s="17"/>
      <c r="N19" s="18"/>
      <c r="O19" s="18"/>
      <c r="P19" s="17"/>
      <c r="Q19" s="17"/>
      <c r="R19" s="17"/>
      <c r="S19" s="17"/>
      <c r="T19" s="17"/>
      <c r="U19" s="17"/>
      <c r="V19" s="17"/>
      <c r="W19" s="17"/>
      <c r="X19" s="17"/>
      <c r="Y19" s="17"/>
      <c r="Z19" s="17"/>
      <c r="AA19" s="17"/>
      <c r="AB19" s="17"/>
      <c r="AC19" s="17"/>
      <c r="AD19" s="17"/>
      <c r="AE19" s="17"/>
      <c r="AF19" s="17"/>
      <c r="AG19" s="17"/>
      <c r="AH19" s="17"/>
      <c r="AI19" s="17"/>
      <c r="AJ19" s="17"/>
      <c r="AK19" s="17"/>
      <c r="AL19" s="17"/>
    </row>
    <row r="20" spans="1:38" ht="15" hidden="1" customHeight="1" x14ac:dyDescent="0.25">
      <c r="A20" s="20"/>
      <c r="B20" s="229" t="s">
        <v>746</v>
      </c>
      <c r="C20" s="27">
        <f>IF(OR(C14="",C6=""),"",INDEX(Beta_Chart,C16,C18))</f>
        <v>2</v>
      </c>
      <c r="D20" s="231"/>
      <c r="E20" s="17"/>
      <c r="F20" s="17"/>
      <c r="G20" s="18"/>
      <c r="H20" s="17"/>
      <c r="I20" s="17"/>
      <c r="J20" s="17"/>
      <c r="K20" s="17"/>
      <c r="L20" s="17"/>
      <c r="M20" s="17"/>
      <c r="N20" s="18"/>
      <c r="O20" s="18"/>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5" hidden="1" customHeight="1" x14ac:dyDescent="0.25">
      <c r="A21" s="20"/>
      <c r="B21" s="229"/>
      <c r="C21" s="237" t="s">
        <v>79</v>
      </c>
      <c r="D21" s="231"/>
      <c r="E21" s="17"/>
      <c r="F21" s="17"/>
      <c r="G21" s="18"/>
      <c r="H21" s="17"/>
      <c r="I21" s="17"/>
      <c r="J21" s="17"/>
      <c r="K21" s="17"/>
      <c r="L21" s="17"/>
      <c r="M21" s="17"/>
      <c r="N21" s="18"/>
      <c r="O21" s="18"/>
      <c r="P21" s="17"/>
      <c r="Q21" s="17"/>
      <c r="R21" s="17"/>
      <c r="S21" s="17"/>
      <c r="T21" s="17"/>
      <c r="U21" s="17"/>
      <c r="V21" s="17"/>
      <c r="W21" s="17"/>
      <c r="X21" s="17"/>
      <c r="Y21" s="17"/>
      <c r="Z21" s="17"/>
      <c r="AA21" s="17"/>
      <c r="AB21" s="17"/>
      <c r="AC21" s="17"/>
      <c r="AD21" s="17"/>
      <c r="AE21" s="17"/>
      <c r="AF21" s="17"/>
      <c r="AG21" s="17"/>
      <c r="AH21" s="17"/>
      <c r="AI21" s="17"/>
      <c r="AJ21" s="17"/>
      <c r="AK21" s="17"/>
      <c r="AL21" s="17"/>
    </row>
    <row r="22" spans="1:38" ht="15" hidden="1" customHeight="1" x14ac:dyDescent="0.25">
      <c r="A22" s="20"/>
      <c r="B22" s="229"/>
      <c r="C22" s="238" t="s">
        <v>83</v>
      </c>
      <c r="D22" s="231"/>
      <c r="E22" s="17"/>
      <c r="F22" s="17"/>
      <c r="G22" s="18"/>
      <c r="H22" s="17"/>
      <c r="I22" s="17"/>
      <c r="J22" s="17"/>
      <c r="K22" s="17"/>
      <c r="L22" s="17"/>
      <c r="M22" s="17"/>
      <c r="N22" s="18"/>
      <c r="O22" s="18"/>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 customHeight="1" x14ac:dyDescent="0.25">
      <c r="A23" s="20"/>
      <c r="B23" s="230"/>
      <c r="C23" s="243"/>
      <c r="D23" s="240" t="s">
        <v>747</v>
      </c>
      <c r="E23" s="17"/>
      <c r="F23" s="17"/>
      <c r="G23" s="18"/>
      <c r="H23" s="17"/>
      <c r="I23" s="17"/>
      <c r="J23" s="17"/>
      <c r="K23" s="17"/>
      <c r="L23" s="17"/>
      <c r="M23" s="17"/>
      <c r="N23" s="18"/>
      <c r="O23" s="18"/>
      <c r="P23" s="17"/>
      <c r="Q23" s="17"/>
      <c r="R23" s="17"/>
      <c r="S23" s="17"/>
      <c r="T23" s="17"/>
      <c r="U23" s="17"/>
      <c r="V23" s="17"/>
      <c r="W23" s="17"/>
      <c r="X23" s="17"/>
      <c r="Y23" s="17"/>
      <c r="Z23" s="17"/>
      <c r="AA23" s="17"/>
      <c r="AB23" s="17"/>
      <c r="AC23" s="17"/>
      <c r="AD23" s="17"/>
      <c r="AE23" s="17"/>
      <c r="AF23" s="17"/>
      <c r="AG23" s="17"/>
      <c r="AH23" s="17"/>
      <c r="AI23" s="17"/>
      <c r="AJ23" s="17"/>
      <c r="AK23" s="17"/>
      <c r="AL23" s="17"/>
    </row>
    <row r="24" spans="1:38" ht="15" customHeight="1" x14ac:dyDescent="0.25">
      <c r="A24" s="20"/>
      <c r="B24" s="229" t="s">
        <v>725</v>
      </c>
      <c r="C24" s="244">
        <f>IF(OR(ISBLANK(C5),ISBLANK(C7),ISBLANK(C8)),"",((C8+(4*C5)+C7)/6))</f>
        <v>40</v>
      </c>
      <c r="D24" s="231" t="s">
        <v>738</v>
      </c>
      <c r="E24" s="17"/>
      <c r="F24" s="17"/>
      <c r="G24" s="18"/>
      <c r="H24" s="17"/>
      <c r="I24" s="17"/>
      <c r="J24" s="17"/>
      <c r="K24" s="17"/>
      <c r="L24" s="17"/>
      <c r="M24" s="17"/>
      <c r="N24" s="18"/>
      <c r="O24" s="18"/>
      <c r="P24" s="17"/>
      <c r="Q24" s="17"/>
      <c r="R24" s="17"/>
      <c r="S24" s="17"/>
      <c r="T24" s="17"/>
      <c r="U24" s="17"/>
      <c r="V24" s="17"/>
      <c r="W24" s="17"/>
      <c r="X24" s="17"/>
      <c r="Y24" s="17"/>
      <c r="Z24" s="17"/>
      <c r="AA24" s="17"/>
      <c r="AB24" s="17"/>
      <c r="AC24" s="17"/>
      <c r="AD24" s="17"/>
      <c r="AE24" s="17"/>
      <c r="AF24" s="17"/>
      <c r="AG24" s="17"/>
      <c r="AH24" s="17"/>
      <c r="AI24" s="17"/>
      <c r="AJ24" s="17"/>
      <c r="AK24" s="17"/>
      <c r="AL24" s="17"/>
    </row>
    <row r="25" spans="1:38" ht="15" customHeight="1" x14ac:dyDescent="0.25">
      <c r="A25" s="20"/>
      <c r="B25" s="229" t="s">
        <v>726</v>
      </c>
      <c r="C25" s="245">
        <f>IF(OR(C14="",C6=""),"",(C8-C7)*INDEX(Standard_Deviation_Ratios,C16,C18))</f>
        <v>13.416</v>
      </c>
      <c r="D25" s="232"/>
      <c r="E25" s="17"/>
      <c r="F25" s="17"/>
      <c r="G25" s="18"/>
      <c r="H25" s="17"/>
      <c r="I25" s="17"/>
      <c r="J25" s="17"/>
      <c r="K25" s="17"/>
      <c r="L25" s="17"/>
      <c r="M25" s="17"/>
      <c r="N25" s="18"/>
      <c r="O25" s="18"/>
      <c r="P25" s="17"/>
      <c r="Q25" s="17"/>
      <c r="R25" s="17"/>
      <c r="S25" s="17"/>
      <c r="T25" s="17"/>
      <c r="U25" s="17"/>
      <c r="V25" s="17"/>
      <c r="W25" s="17"/>
      <c r="X25" s="17"/>
      <c r="Y25" s="17"/>
      <c r="Z25" s="17"/>
      <c r="AA25" s="17"/>
      <c r="AB25" s="17"/>
      <c r="AC25" s="17"/>
      <c r="AD25" s="17"/>
      <c r="AE25" s="17"/>
      <c r="AF25" s="17"/>
      <c r="AG25" s="17"/>
      <c r="AH25" s="17"/>
      <c r="AI25" s="17"/>
      <c r="AJ25" s="17"/>
      <c r="AK25" s="17"/>
      <c r="AL25" s="17"/>
    </row>
    <row r="26" spans="1:38" ht="15" customHeight="1" x14ac:dyDescent="0.25">
      <c r="A26" s="20"/>
      <c r="B26" s="229" t="s">
        <v>727</v>
      </c>
      <c r="C26" s="246">
        <f>IF(OR($C19="",$C20=""),"",_xlfn.BETA.INV(ABS(VLOOKUP($C$21,VLookups!$A$28:$B$29,2,FALSE)-C$11),IF($C15="L",$C20,$C19),IF($C15="L",$C19,$C20),$C7,$C8))</f>
        <v>27.228443525004426</v>
      </c>
      <c r="D26" s="231" t="s">
        <v>739</v>
      </c>
      <c r="E26" s="17"/>
      <c r="F26" s="17"/>
      <c r="G26" s="18"/>
      <c r="H26" s="17"/>
      <c r="I26" s="17"/>
      <c r="J26" s="17"/>
      <c r="K26" s="17"/>
      <c r="L26" s="17"/>
      <c r="M26" s="17"/>
      <c r="N26" s="18"/>
      <c r="O26" s="18"/>
      <c r="P26" s="17"/>
      <c r="Q26" s="17"/>
      <c r="R26" s="17"/>
      <c r="S26" s="17"/>
      <c r="T26" s="17"/>
      <c r="U26" s="17"/>
      <c r="V26" s="17"/>
      <c r="W26" s="17"/>
      <c r="X26" s="17"/>
      <c r="Y26" s="17"/>
      <c r="Z26" s="17"/>
      <c r="AA26" s="17"/>
      <c r="AB26" s="17"/>
      <c r="AC26" s="17"/>
      <c r="AD26" s="17"/>
      <c r="AE26" s="17"/>
      <c r="AF26" s="17"/>
      <c r="AG26" s="17"/>
      <c r="AH26" s="17"/>
      <c r="AI26" s="17"/>
      <c r="AJ26" s="17"/>
      <c r="AK26" s="17"/>
      <c r="AL26" s="17"/>
    </row>
    <row r="27" spans="1:38" ht="15" customHeight="1" x14ac:dyDescent="0.25">
      <c r="A27" s="20"/>
      <c r="B27" s="229" t="s">
        <v>728</v>
      </c>
      <c r="C27" s="247">
        <f>IF(OR(C10="",C26=""),"",C10/C26)</f>
        <v>9.365206636428864</v>
      </c>
      <c r="D27" s="231" t="s">
        <v>740</v>
      </c>
      <c r="E27" s="17"/>
      <c r="F27" s="17"/>
      <c r="G27" s="18"/>
      <c r="H27" s="17"/>
      <c r="I27" s="17"/>
      <c r="J27" s="17"/>
      <c r="K27" s="17"/>
      <c r="L27" s="17"/>
      <c r="M27" s="17"/>
      <c r="N27" s="18"/>
      <c r="O27" s="18"/>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 customHeight="1" x14ac:dyDescent="0.25">
      <c r="A28" s="20"/>
      <c r="B28" s="229" t="s">
        <v>729</v>
      </c>
      <c r="C28" s="248">
        <f>IF(OR(C4="",C27=""),"",C4*ROUND(C27+0.3,0))</f>
        <v>20</v>
      </c>
      <c r="D28" s="231" t="s">
        <v>741</v>
      </c>
      <c r="E28" s="17"/>
      <c r="F28" s="17"/>
      <c r="G28" s="18"/>
      <c r="H28" s="17"/>
      <c r="I28" s="17"/>
      <c r="J28" s="17"/>
      <c r="K28" s="17"/>
      <c r="L28" s="17"/>
      <c r="M28" s="17"/>
      <c r="N28" s="18"/>
      <c r="O28" s="18"/>
      <c r="P28" s="17"/>
      <c r="Q28" s="17"/>
      <c r="R28" s="17"/>
      <c r="S28" s="17"/>
      <c r="T28" s="17"/>
      <c r="U28" s="17"/>
      <c r="V28" s="17"/>
      <c r="W28" s="17"/>
      <c r="X28" s="17"/>
      <c r="Y28" s="17"/>
      <c r="Z28" s="17"/>
      <c r="AA28" s="17"/>
      <c r="AB28" s="17"/>
      <c r="AC28" s="17"/>
      <c r="AD28" s="17"/>
      <c r="AE28" s="17"/>
      <c r="AF28" s="17"/>
      <c r="AG28" s="17"/>
      <c r="AH28" s="17"/>
      <c r="AI28" s="17"/>
      <c r="AJ28" s="17"/>
      <c r="AK28" s="17"/>
      <c r="AL28" s="17"/>
    </row>
    <row r="29" spans="1:38" ht="18" customHeight="1" x14ac:dyDescent="0.25">
      <c r="A29" s="20"/>
      <c r="B29" s="229" t="s">
        <v>730</v>
      </c>
      <c r="C29" s="253"/>
      <c r="D29" s="231" t="s">
        <v>742</v>
      </c>
      <c r="E29" s="17"/>
      <c r="F29" s="17"/>
      <c r="G29" s="18"/>
      <c r="H29" s="17"/>
      <c r="I29" s="17"/>
      <c r="J29" s="17"/>
      <c r="K29" s="17"/>
      <c r="L29" s="17"/>
      <c r="M29" s="17"/>
      <c r="N29" s="18"/>
      <c r="O29" s="18"/>
      <c r="P29" s="17"/>
      <c r="Q29" s="17"/>
      <c r="R29" s="17"/>
      <c r="S29" s="17"/>
      <c r="T29" s="17"/>
      <c r="U29" s="17"/>
      <c r="V29" s="17"/>
      <c r="W29" s="17"/>
      <c r="X29" s="17"/>
      <c r="Y29" s="17"/>
      <c r="Z29" s="17"/>
      <c r="AA29" s="17"/>
      <c r="AB29" s="17"/>
      <c r="AC29" s="17"/>
      <c r="AD29" s="17"/>
      <c r="AE29" s="17"/>
      <c r="AF29" s="17"/>
      <c r="AG29" s="17"/>
      <c r="AH29" s="17"/>
      <c r="AI29" s="17"/>
      <c r="AJ29" s="17"/>
      <c r="AK29" s="17"/>
      <c r="AL29" s="17"/>
    </row>
    <row r="30" spans="1:38" ht="15" customHeight="1" x14ac:dyDescent="0.25">
      <c r="A30" s="20"/>
      <c r="B30" s="229" t="s">
        <v>731</v>
      </c>
      <c r="C30" s="234">
        <f>IF(C28="","",C28*7+C29)</f>
        <v>140</v>
      </c>
      <c r="D30" s="233" t="s">
        <v>743</v>
      </c>
      <c r="E30" s="17"/>
      <c r="F30" s="17"/>
      <c r="G30" s="18"/>
      <c r="H30" s="17"/>
      <c r="I30" s="17"/>
      <c r="J30" s="17"/>
      <c r="K30" s="17"/>
      <c r="L30" s="17"/>
      <c r="M30" s="17"/>
      <c r="N30" s="18"/>
      <c r="O30" s="18"/>
      <c r="P30" s="17"/>
      <c r="Q30" s="17"/>
      <c r="R30" s="17"/>
      <c r="S30" s="17"/>
      <c r="T30" s="17"/>
      <c r="U30" s="17"/>
      <c r="V30" s="17"/>
      <c r="W30" s="17"/>
      <c r="X30" s="17"/>
      <c r="Y30" s="17"/>
      <c r="Z30" s="17"/>
      <c r="AA30" s="17"/>
      <c r="AB30" s="17"/>
      <c r="AC30" s="17"/>
      <c r="AD30" s="17"/>
      <c r="AE30" s="17"/>
      <c r="AF30" s="17"/>
      <c r="AG30" s="17"/>
      <c r="AH30" s="17"/>
      <c r="AI30" s="17"/>
      <c r="AJ30" s="17"/>
      <c r="AK30" s="17"/>
      <c r="AL30" s="17"/>
    </row>
    <row r="31" spans="1:38" ht="18" customHeight="1" x14ac:dyDescent="0.25">
      <c r="A31" s="20"/>
      <c r="B31" s="229" t="s">
        <v>755</v>
      </c>
      <c r="C31" s="252">
        <f>IF(OR(C3="",C30=""),"",C3+C30)</f>
        <v>43794</v>
      </c>
      <c r="D31" s="231"/>
      <c r="E31" s="17"/>
      <c r="F31" s="17"/>
      <c r="G31" s="18"/>
      <c r="H31" s="17"/>
      <c r="I31" s="17"/>
      <c r="J31" s="17"/>
      <c r="K31" s="17"/>
      <c r="L31" s="17"/>
      <c r="M31" s="17"/>
      <c r="N31" s="18"/>
      <c r="O31" s="18"/>
      <c r="P31" s="17"/>
      <c r="Q31" s="17"/>
      <c r="R31" s="17"/>
      <c r="S31" s="17"/>
      <c r="T31" s="17"/>
      <c r="U31" s="17"/>
      <c r="V31" s="17"/>
      <c r="W31" s="17"/>
      <c r="X31" s="17"/>
      <c r="Y31" s="17"/>
      <c r="Z31" s="17"/>
      <c r="AA31" s="17"/>
      <c r="AB31" s="17"/>
      <c r="AC31" s="17"/>
      <c r="AD31" s="17"/>
      <c r="AE31" s="17"/>
      <c r="AF31" s="17"/>
      <c r="AG31" s="17"/>
      <c r="AH31" s="17"/>
      <c r="AI31" s="17"/>
      <c r="AJ31" s="17"/>
      <c r="AK31" s="17"/>
      <c r="AL31" s="17"/>
    </row>
    <row r="32" spans="1:38" ht="15" customHeight="1" x14ac:dyDescent="0.25">
      <c r="A32" s="20"/>
      <c r="B32" s="88"/>
      <c r="C32" s="88"/>
      <c r="D32" s="17"/>
      <c r="E32" s="17"/>
      <c r="F32" s="17"/>
      <c r="G32" s="18"/>
      <c r="H32" s="17"/>
      <c r="I32" s="17"/>
      <c r="J32" s="17"/>
      <c r="K32" s="17"/>
      <c r="L32" s="17"/>
      <c r="M32" s="17"/>
      <c r="N32" s="18"/>
      <c r="O32" s="18"/>
      <c r="P32" s="17"/>
      <c r="Q32" s="17"/>
      <c r="R32" s="17"/>
      <c r="S32" s="17"/>
      <c r="T32" s="17"/>
      <c r="U32" s="17"/>
      <c r="V32" s="17"/>
      <c r="W32" s="17"/>
      <c r="X32" s="17"/>
      <c r="Y32" s="17"/>
      <c r="Z32" s="17"/>
      <c r="AA32" s="17"/>
      <c r="AB32" s="17"/>
      <c r="AC32" s="17"/>
      <c r="AD32" s="17"/>
      <c r="AE32" s="17"/>
      <c r="AF32" s="17"/>
      <c r="AG32" s="17"/>
      <c r="AH32" s="17"/>
      <c r="AI32" s="17"/>
      <c r="AJ32" s="17"/>
      <c r="AK32" s="17"/>
      <c r="AL32" s="17"/>
    </row>
    <row r="33" spans="1:38" x14ac:dyDescent="0.25">
      <c r="A33" s="18"/>
      <c r="B33" s="17"/>
      <c r="C33" s="17"/>
      <c r="D33" s="17"/>
      <c r="E33" s="17"/>
      <c r="F33" s="17"/>
      <c r="G33" s="18"/>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7"/>
      <c r="B34" s="37" t="str">
        <f>CONCATENATE("Version ",'Change Log'!$B$2," – © 2015-",YEAR('Change Log'!$A$2),", William W. Davis, MSPM, PMP")</f>
        <v>Version 2.0n – © 2015-2019, William W. Davis, MSPM, PMP</v>
      </c>
      <c r="C34" s="17"/>
      <c r="D34" s="17"/>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x14ac:dyDescent="0.25">
      <c r="A35" s="17"/>
      <c r="B35" s="270" t="s">
        <v>137</v>
      </c>
      <c r="C35" s="270"/>
      <c r="D35" s="270"/>
      <c r="E35" s="270"/>
      <c r="F35" s="270"/>
      <c r="G35" s="270"/>
      <c r="H35" s="270"/>
      <c r="I35" s="270"/>
      <c r="J35" s="270"/>
      <c r="K35" s="270"/>
      <c r="L35" s="270"/>
      <c r="M35" s="270"/>
      <c r="N35" s="270"/>
      <c r="O35" s="228"/>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x14ac:dyDescent="0.25">
      <c r="A36" s="17"/>
      <c r="B36" s="270" t="s">
        <v>136</v>
      </c>
      <c r="C36" s="270"/>
      <c r="D36" s="270"/>
      <c r="E36" s="270"/>
      <c r="F36" s="270"/>
      <c r="G36" s="270"/>
      <c r="H36" s="270"/>
      <c r="I36" s="270"/>
      <c r="J36" s="270"/>
      <c r="K36" s="270"/>
      <c r="L36" s="270"/>
      <c r="M36" s="270"/>
      <c r="N36" s="270"/>
      <c r="O36" s="228"/>
      <c r="P36" s="18"/>
      <c r="Q36" s="17"/>
      <c r="R36" s="17"/>
      <c r="S36" s="17"/>
      <c r="T36" s="17"/>
      <c r="U36" s="17"/>
      <c r="V36" s="17"/>
      <c r="W36" s="17"/>
      <c r="X36" s="17"/>
      <c r="Y36" s="17"/>
      <c r="Z36" s="17"/>
      <c r="AA36" s="17"/>
      <c r="AB36" s="17"/>
      <c r="AC36" s="17"/>
      <c r="AD36" s="17"/>
      <c r="AE36" s="17"/>
      <c r="AF36" s="17"/>
      <c r="AG36" s="17"/>
      <c r="AH36" s="17"/>
      <c r="AI36" s="17"/>
      <c r="AJ36" s="17"/>
      <c r="AK36" s="17"/>
      <c r="AL36" s="17"/>
    </row>
    <row r="37" spans="1:38" x14ac:dyDescent="0.25">
      <c r="A37" s="17"/>
      <c r="B37" s="270" t="s">
        <v>91</v>
      </c>
      <c r="C37" s="270"/>
      <c r="D37" s="270"/>
      <c r="E37" s="270"/>
      <c r="F37" s="270"/>
      <c r="G37" s="270"/>
      <c r="H37" s="270"/>
      <c r="I37" s="270"/>
      <c r="J37" s="270"/>
      <c r="K37" s="270"/>
      <c r="L37" s="270"/>
      <c r="M37" s="270"/>
      <c r="N37" s="270"/>
      <c r="O37" s="228"/>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x14ac:dyDescent="0.25">
      <c r="A38" s="17"/>
      <c r="B38" s="270" t="s">
        <v>149</v>
      </c>
      <c r="C38" s="270"/>
      <c r="D38" s="270"/>
      <c r="E38" s="270"/>
      <c r="F38" s="270"/>
      <c r="G38" s="270"/>
      <c r="H38" s="270"/>
      <c r="I38" s="270"/>
      <c r="J38" s="270"/>
      <c r="K38" s="270"/>
      <c r="L38" s="270"/>
      <c r="M38" s="270"/>
      <c r="N38" s="270"/>
      <c r="O38" s="228"/>
      <c r="P38" s="18"/>
      <c r="Q38" s="17"/>
      <c r="R38" s="17"/>
      <c r="S38" s="17"/>
      <c r="T38" s="17"/>
      <c r="U38" s="17"/>
      <c r="V38" s="17"/>
      <c r="W38" s="17"/>
      <c r="X38" s="17"/>
      <c r="Y38" s="17"/>
      <c r="Z38" s="17"/>
      <c r="AA38" s="17"/>
      <c r="AB38" s="17"/>
      <c r="AC38" s="17"/>
      <c r="AD38" s="17"/>
      <c r="AE38" s="17"/>
      <c r="AF38" s="17"/>
      <c r="AG38" s="17"/>
      <c r="AH38" s="17"/>
      <c r="AI38" s="17"/>
      <c r="AJ38" s="17"/>
      <c r="AK38" s="17"/>
      <c r="AL38" s="17"/>
    </row>
    <row r="39" spans="1:38" x14ac:dyDescent="0.25">
      <c r="A39" s="17"/>
      <c r="B39" s="270" t="s">
        <v>92</v>
      </c>
      <c r="C39" s="270"/>
      <c r="D39" s="270"/>
      <c r="E39" s="270"/>
      <c r="F39" s="270"/>
      <c r="G39" s="270"/>
      <c r="H39" s="270"/>
      <c r="I39" s="270"/>
      <c r="J39" s="270"/>
      <c r="K39" s="270"/>
      <c r="L39" s="270"/>
      <c r="M39" s="270"/>
      <c r="N39" s="270"/>
      <c r="O39" s="228"/>
      <c r="P39" s="18"/>
      <c r="Q39" s="17"/>
      <c r="R39" s="17"/>
      <c r="S39" s="17"/>
      <c r="T39" s="17"/>
      <c r="U39" s="17"/>
      <c r="V39" s="17"/>
      <c r="W39" s="17"/>
      <c r="X39" s="17"/>
      <c r="Y39" s="17"/>
      <c r="Z39" s="17"/>
      <c r="AA39" s="17"/>
      <c r="AB39" s="17"/>
      <c r="AC39" s="17"/>
      <c r="AD39" s="17"/>
      <c r="AE39" s="17"/>
      <c r="AF39" s="17"/>
      <c r="AG39" s="17"/>
      <c r="AH39" s="17"/>
      <c r="AI39" s="17"/>
      <c r="AJ39" s="17"/>
      <c r="AK39" s="17"/>
      <c r="AL39" s="17"/>
    </row>
    <row r="40" spans="1:38" x14ac:dyDescent="0.25">
      <c r="A40" s="17"/>
      <c r="B40" s="146" t="s">
        <v>150</v>
      </c>
      <c r="C40" s="228"/>
      <c r="D40" s="228"/>
      <c r="E40" s="228"/>
      <c r="F40" s="228"/>
      <c r="G40" s="228"/>
      <c r="H40" s="228"/>
      <c r="I40" s="228"/>
      <c r="J40" s="228"/>
      <c r="K40" s="228"/>
      <c r="L40" s="228"/>
      <c r="M40" s="228"/>
      <c r="N40" s="228"/>
      <c r="O40" s="228"/>
      <c r="P40" s="18"/>
      <c r="Q40" s="17"/>
      <c r="R40" s="17"/>
      <c r="S40" s="17"/>
      <c r="T40" s="17"/>
      <c r="U40" s="17"/>
      <c r="V40" s="17"/>
      <c r="W40" s="17"/>
      <c r="X40" s="17"/>
      <c r="Y40" s="17"/>
      <c r="Z40" s="17"/>
      <c r="AA40" s="17"/>
      <c r="AB40" s="17"/>
      <c r="AC40" s="17"/>
      <c r="AD40" s="17"/>
      <c r="AE40" s="17"/>
      <c r="AF40" s="17"/>
      <c r="AG40" s="17"/>
      <c r="AH40" s="17"/>
      <c r="AI40" s="17"/>
      <c r="AJ40" s="17"/>
      <c r="AK40" s="17"/>
      <c r="AL40" s="17"/>
    </row>
    <row r="41" spans="1:38" x14ac:dyDescent="0.2">
      <c r="A41" s="17"/>
      <c r="B41" s="146" t="s">
        <v>89</v>
      </c>
      <c r="C41" s="17"/>
      <c r="D41" s="17"/>
      <c r="E41" s="17"/>
      <c r="F41" s="17"/>
      <c r="G41" s="18"/>
      <c r="H41" s="17"/>
      <c r="I41" s="17"/>
      <c r="J41" s="17"/>
      <c r="K41" s="17"/>
      <c r="L41" s="17"/>
      <c r="M41" s="17"/>
      <c r="N41" s="17"/>
      <c r="O41" s="17"/>
      <c r="P41" s="18"/>
      <c r="Q41" s="17"/>
      <c r="R41" s="17"/>
      <c r="S41" s="17"/>
      <c r="T41" s="17"/>
      <c r="U41" s="17"/>
      <c r="V41" s="17"/>
      <c r="W41" s="17"/>
      <c r="X41" s="17"/>
      <c r="Y41" s="17"/>
      <c r="Z41" s="17"/>
      <c r="AA41" s="17"/>
      <c r="AB41" s="17"/>
      <c r="AC41" s="17"/>
      <c r="AD41" s="17"/>
      <c r="AE41" s="17"/>
      <c r="AF41" s="17"/>
      <c r="AG41" s="17"/>
      <c r="AH41" s="17"/>
      <c r="AI41" s="17"/>
      <c r="AJ41" s="17"/>
      <c r="AK41" s="17"/>
      <c r="AL41" s="17"/>
    </row>
    <row r="42" spans="1:38" x14ac:dyDescent="0.2">
      <c r="A42" s="17"/>
      <c r="B42" s="146" t="s">
        <v>151</v>
      </c>
      <c r="C42" s="17"/>
      <c r="D42" s="17"/>
      <c r="E42" s="17"/>
      <c r="F42" s="17"/>
      <c r="G42" s="18"/>
      <c r="H42" s="17"/>
      <c r="I42" s="17"/>
      <c r="J42" s="17"/>
      <c r="K42" s="17"/>
      <c r="L42" s="17"/>
      <c r="M42" s="17"/>
      <c r="N42" s="17"/>
      <c r="O42" s="17"/>
      <c r="P42" s="18"/>
      <c r="Q42" s="17"/>
      <c r="R42" s="17"/>
      <c r="S42" s="17"/>
      <c r="T42" s="17"/>
      <c r="U42" s="17"/>
      <c r="V42" s="17"/>
      <c r="W42" s="17"/>
      <c r="X42" s="17"/>
      <c r="Y42" s="17"/>
      <c r="Z42" s="17"/>
      <c r="AA42" s="17"/>
      <c r="AB42" s="17"/>
      <c r="AC42" s="17"/>
      <c r="AD42" s="17"/>
      <c r="AE42" s="17"/>
      <c r="AF42" s="17"/>
      <c r="AG42" s="17"/>
      <c r="AH42" s="17"/>
      <c r="AI42" s="17"/>
      <c r="AJ42" s="17"/>
      <c r="AK42" s="17"/>
      <c r="AL42" s="17"/>
    </row>
    <row r="43" spans="1:38" x14ac:dyDescent="0.2">
      <c r="A43" s="17"/>
      <c r="B43" s="146" t="s">
        <v>152</v>
      </c>
      <c r="C43" s="17"/>
      <c r="D43" s="17"/>
      <c r="E43" s="17"/>
      <c r="F43" s="17"/>
      <c r="G43" s="18"/>
      <c r="H43" s="17"/>
      <c r="I43" s="17"/>
      <c r="J43" s="17"/>
      <c r="K43" s="17"/>
      <c r="L43" s="17"/>
      <c r="M43" s="17"/>
      <c r="N43" s="17"/>
      <c r="O43" s="17"/>
      <c r="P43" s="18"/>
      <c r="Q43" s="17"/>
      <c r="R43" s="17"/>
      <c r="S43" s="17"/>
      <c r="T43" s="17"/>
      <c r="U43" s="17"/>
      <c r="V43" s="17"/>
      <c r="W43" s="17"/>
      <c r="X43" s="17"/>
      <c r="Y43" s="17"/>
      <c r="Z43" s="17"/>
      <c r="AA43" s="17"/>
      <c r="AB43" s="17"/>
      <c r="AC43" s="17"/>
      <c r="AD43" s="17"/>
      <c r="AE43" s="17"/>
      <c r="AF43" s="17"/>
      <c r="AG43" s="17"/>
      <c r="AH43" s="17"/>
      <c r="AI43" s="17"/>
      <c r="AJ43" s="17"/>
      <c r="AK43" s="17"/>
      <c r="AL43" s="17"/>
    </row>
    <row r="44" spans="1:38" x14ac:dyDescent="0.2">
      <c r="A44" s="17"/>
      <c r="B44" s="146" t="s">
        <v>708</v>
      </c>
      <c r="C44" s="17"/>
      <c r="D44" s="17"/>
      <c r="E44" s="17"/>
      <c r="F44" s="17"/>
      <c r="G44" s="18"/>
      <c r="H44" s="17"/>
      <c r="I44" s="17"/>
      <c r="J44" s="17"/>
      <c r="K44" s="17"/>
      <c r="L44" s="17"/>
      <c r="M44" s="17"/>
      <c r="N44" s="17"/>
      <c r="O44" s="17"/>
      <c r="P44" s="18"/>
      <c r="Q44" s="17"/>
      <c r="R44" s="17"/>
      <c r="S44" s="17"/>
      <c r="T44" s="17"/>
      <c r="U44" s="17"/>
      <c r="V44" s="17"/>
      <c r="W44" s="17"/>
      <c r="X44" s="17"/>
      <c r="Y44" s="17"/>
      <c r="Z44" s="17"/>
      <c r="AA44" s="17"/>
      <c r="AB44" s="17"/>
      <c r="AC44" s="17"/>
      <c r="AD44" s="17"/>
      <c r="AE44" s="17"/>
      <c r="AF44" s="17"/>
      <c r="AG44" s="17"/>
      <c r="AH44" s="17"/>
      <c r="AI44" s="17"/>
      <c r="AJ44" s="17"/>
      <c r="AK44" s="17"/>
      <c r="AL44" s="17"/>
    </row>
    <row r="45" spans="1:38" x14ac:dyDescent="0.2">
      <c r="A45" s="17"/>
      <c r="B45" s="146" t="s">
        <v>709</v>
      </c>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
      <c r="A46" s="17"/>
      <c r="B46" s="146"/>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
      <c r="A47" s="17"/>
      <c r="B47" s="146" t="s">
        <v>710</v>
      </c>
      <c r="C47" s="17"/>
      <c r="D47" s="17"/>
      <c r="E47" s="17"/>
      <c r="F47" s="17"/>
      <c r="G47" s="18"/>
      <c r="H47" s="17"/>
      <c r="I47" s="17"/>
      <c r="J47" s="17"/>
      <c r="K47" s="17"/>
      <c r="L47" s="17"/>
      <c r="M47" s="17"/>
      <c r="N47" s="17"/>
      <c r="O47" s="17"/>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
      <c r="A48" s="17"/>
      <c r="B48" s="146" t="s">
        <v>87</v>
      </c>
      <c r="C48" s="17"/>
      <c r="D48" s="17"/>
      <c r="E48" s="17"/>
      <c r="F48" s="17"/>
      <c r="G48" s="18"/>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
      <c r="A49" s="17"/>
      <c r="B49" s="218" t="s">
        <v>88</v>
      </c>
      <c r="C49" s="17"/>
      <c r="D49" s="17"/>
      <c r="E49" s="17"/>
      <c r="F49" s="17"/>
      <c r="G49" s="18"/>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17"/>
      <c r="C50" s="17"/>
      <c r="D50" s="17"/>
      <c r="E50" s="17"/>
      <c r="F50" s="17"/>
      <c r="G50" s="18"/>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row>
    <row r="51" spans="1:38" hidden="1" x14ac:dyDescent="0.25">
      <c r="A51" s="187"/>
      <c r="B51" s="188" t="s">
        <v>675</v>
      </c>
      <c r="C51" s="189">
        <f>IF(AND(C7&gt;0,C5&gt;0,C8&gt;0),ABS(C7-C8)/100,"")</f>
        <v>0.6</v>
      </c>
      <c r="D51" s="190" t="s">
        <v>676</v>
      </c>
      <c r="E51" s="17"/>
      <c r="F51" s="17"/>
      <c r="G51" s="18"/>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row>
    <row r="52" spans="1:38" hidden="1" x14ac:dyDescent="0.25">
      <c r="A52" s="187"/>
      <c r="B52" s="56"/>
      <c r="C52" s="56"/>
      <c r="D52" s="17"/>
      <c r="E52" s="17"/>
      <c r="F52" s="17"/>
      <c r="G52" s="18"/>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row>
    <row r="53" spans="1:38" hidden="1" x14ac:dyDescent="0.25">
      <c r="A53" s="187"/>
      <c r="B53" s="191">
        <f>IF(ISNONTEXT($C$51),C7,"")</f>
        <v>10</v>
      </c>
      <c r="C53" s="206">
        <f>IF($C$15="R",_xlfn.BETA.DIST(B53+0.001,$C$19,$C$20,FALSE,$C$7,$C$8),_xlfn.BETA.DIST(B53+0.001,$C$20,$C$19,FALSE,$C$7,$C$8))</f>
        <v>1.6666388888879655E-6</v>
      </c>
      <c r="D53" s="17"/>
      <c r="E53" s="17"/>
      <c r="F53" s="17"/>
      <c r="G53" s="18"/>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row>
    <row r="54" spans="1:38" hidden="1" x14ac:dyDescent="0.25">
      <c r="A54" s="187"/>
      <c r="B54" s="191">
        <f>IF(ISNONTEXT($C$51),B53+$C$51,"")</f>
        <v>10.6</v>
      </c>
      <c r="C54" s="69">
        <f t="shared" ref="C54:C85" si="0">IF($C$15="R",_xlfn.BETA.DIST(B54,$C$19,$C$20,FALSE,$C$7,$C$8),_xlfn.BETA.DIST(B54,$C$20,$C$19,FALSE,$C$7,$C$8))</f>
        <v>9.8999999999999891E-4</v>
      </c>
      <c r="D54" s="17"/>
      <c r="E54" s="17"/>
      <c r="F54" s="17"/>
      <c r="G54" s="18"/>
      <c r="H54" s="17"/>
      <c r="I54" s="17"/>
      <c r="J54" s="17"/>
      <c r="K54" s="17"/>
      <c r="L54" s="17"/>
      <c r="M54" s="17"/>
      <c r="N54" s="18"/>
      <c r="O54" s="18"/>
      <c r="P54" s="17"/>
      <c r="Q54" s="17"/>
      <c r="R54" s="17"/>
      <c r="S54" s="17"/>
      <c r="T54" s="17"/>
      <c r="U54" s="17"/>
      <c r="V54" s="17"/>
      <c r="W54" s="17"/>
      <c r="X54" s="17"/>
      <c r="Y54" s="17"/>
      <c r="Z54" s="17"/>
      <c r="AA54" s="17"/>
      <c r="AB54" s="17"/>
      <c r="AC54" s="17"/>
      <c r="AD54" s="17"/>
      <c r="AE54" s="17"/>
      <c r="AF54" s="17"/>
      <c r="AG54" s="17"/>
      <c r="AH54" s="17"/>
      <c r="AI54" s="17"/>
      <c r="AJ54" s="17"/>
      <c r="AK54" s="17"/>
      <c r="AL54" s="17"/>
    </row>
    <row r="55" spans="1:38" hidden="1" x14ac:dyDescent="0.25">
      <c r="A55" s="187"/>
      <c r="B55" s="191">
        <f t="shared" ref="B55:B118" si="1">IF(ISNONTEXT($C$51),B54+$C$51,"")</f>
        <v>11.2</v>
      </c>
      <c r="C55" s="69">
        <f t="shared" si="0"/>
        <v>1.9599999999999982E-3</v>
      </c>
    </row>
    <row r="56" spans="1:38" hidden="1" x14ac:dyDescent="0.25">
      <c r="A56" s="187"/>
      <c r="B56" s="191">
        <f t="shared" si="1"/>
        <v>11.799999999999999</v>
      </c>
      <c r="C56" s="69">
        <f t="shared" si="0"/>
        <v>2.9099999999999972E-3</v>
      </c>
    </row>
    <row r="57" spans="1:38" hidden="1" x14ac:dyDescent="0.25">
      <c r="A57" s="187"/>
      <c r="B57" s="191">
        <f t="shared" si="1"/>
        <v>12.399999999999999</v>
      </c>
      <c r="C57" s="69">
        <f t="shared" si="0"/>
        <v>3.8399999999999975E-3</v>
      </c>
    </row>
    <row r="58" spans="1:38" hidden="1" x14ac:dyDescent="0.25">
      <c r="A58" s="187"/>
      <c r="B58" s="191">
        <f t="shared" si="1"/>
        <v>12.999999999999998</v>
      </c>
      <c r="C58" s="69">
        <f t="shared" si="0"/>
        <v>4.7499999999999955E-3</v>
      </c>
    </row>
    <row r="59" spans="1:38" hidden="1" x14ac:dyDescent="0.25">
      <c r="A59" s="187"/>
      <c r="B59" s="191">
        <f t="shared" si="1"/>
        <v>13.599999999999998</v>
      </c>
      <c r="C59" s="69">
        <f t="shared" si="0"/>
        <v>5.6399999999999957E-3</v>
      </c>
    </row>
    <row r="60" spans="1:38" hidden="1" x14ac:dyDescent="0.25">
      <c r="A60" s="187"/>
      <c r="B60" s="191">
        <f t="shared" si="1"/>
        <v>14.199999999999998</v>
      </c>
      <c r="C60" s="69">
        <f t="shared" si="0"/>
        <v>6.5099999999999976E-3</v>
      </c>
    </row>
    <row r="61" spans="1:38" hidden="1" x14ac:dyDescent="0.25">
      <c r="A61"/>
      <c r="B61" s="191">
        <f t="shared" si="1"/>
        <v>14.799999999999997</v>
      </c>
      <c r="C61" s="69">
        <f t="shared" si="0"/>
        <v>7.3599999999999942E-3</v>
      </c>
    </row>
    <row r="62" spans="1:38" hidden="1" x14ac:dyDescent="0.25">
      <c r="A62"/>
      <c r="B62" s="191">
        <f t="shared" si="1"/>
        <v>15.399999999999997</v>
      </c>
      <c r="C62" s="69">
        <f t="shared" si="0"/>
        <v>8.1899999999999959E-3</v>
      </c>
    </row>
    <row r="63" spans="1:38" hidden="1" x14ac:dyDescent="0.25">
      <c r="A63"/>
      <c r="B63" s="191">
        <f t="shared" si="1"/>
        <v>15.999999999999996</v>
      </c>
      <c r="C63" s="69">
        <f t="shared" si="0"/>
        <v>8.9999999999999924E-3</v>
      </c>
    </row>
    <row r="64" spans="1:38" hidden="1" x14ac:dyDescent="0.25">
      <c r="A64"/>
      <c r="B64" s="191">
        <f t="shared" si="1"/>
        <v>16.599999999999998</v>
      </c>
      <c r="C64" s="69">
        <f t="shared" si="0"/>
        <v>9.7899999999999966E-3</v>
      </c>
    </row>
    <row r="65" spans="1:3" hidden="1" x14ac:dyDescent="0.25">
      <c r="A65"/>
      <c r="B65" s="191">
        <f t="shared" si="1"/>
        <v>17.2</v>
      </c>
      <c r="C65" s="69">
        <f t="shared" si="0"/>
        <v>1.0559999999999998E-2</v>
      </c>
    </row>
    <row r="66" spans="1:3" hidden="1" x14ac:dyDescent="0.25">
      <c r="A66"/>
      <c r="B66" s="191">
        <f t="shared" si="1"/>
        <v>17.8</v>
      </c>
      <c r="C66" s="69">
        <f t="shared" si="0"/>
        <v>1.1310000000000002E-2</v>
      </c>
    </row>
    <row r="67" spans="1:3" hidden="1" x14ac:dyDescent="0.25">
      <c r="A67"/>
      <c r="B67" s="191">
        <f t="shared" si="1"/>
        <v>18.400000000000002</v>
      </c>
      <c r="C67" s="69">
        <f t="shared" si="0"/>
        <v>1.2040000000000004E-2</v>
      </c>
    </row>
    <row r="68" spans="1:3" hidden="1" x14ac:dyDescent="0.25">
      <c r="A68"/>
      <c r="B68" s="191">
        <f t="shared" si="1"/>
        <v>19.000000000000004</v>
      </c>
      <c r="C68" s="69">
        <f t="shared" si="0"/>
        <v>1.2750000000000006E-2</v>
      </c>
    </row>
    <row r="69" spans="1:3" hidden="1" x14ac:dyDescent="0.25">
      <c r="A69"/>
      <c r="B69" s="191">
        <f t="shared" si="1"/>
        <v>19.600000000000005</v>
      </c>
      <c r="C69" s="69">
        <f t="shared" si="0"/>
        <v>1.3440000000000009E-2</v>
      </c>
    </row>
    <row r="70" spans="1:3" hidden="1" x14ac:dyDescent="0.25">
      <c r="A70"/>
      <c r="B70" s="191">
        <f t="shared" si="1"/>
        <v>20.200000000000006</v>
      </c>
      <c r="C70" s="69">
        <f t="shared" si="0"/>
        <v>1.411000000000001E-2</v>
      </c>
    </row>
    <row r="71" spans="1:3" hidden="1" x14ac:dyDescent="0.25">
      <c r="A71"/>
      <c r="B71" s="191">
        <f t="shared" si="1"/>
        <v>20.800000000000008</v>
      </c>
      <c r="C71" s="69">
        <f t="shared" si="0"/>
        <v>1.4760000000000006E-2</v>
      </c>
    </row>
    <row r="72" spans="1:3" hidden="1" x14ac:dyDescent="0.25">
      <c r="A72"/>
      <c r="B72" s="191">
        <f t="shared" si="1"/>
        <v>21.400000000000009</v>
      </c>
      <c r="C72" s="69">
        <f t="shared" si="0"/>
        <v>1.539000000000001E-2</v>
      </c>
    </row>
    <row r="73" spans="1:3" hidden="1" x14ac:dyDescent="0.25">
      <c r="A73"/>
      <c r="B73" s="191">
        <f t="shared" si="1"/>
        <v>22.000000000000011</v>
      </c>
      <c r="C73" s="69">
        <f t="shared" si="0"/>
        <v>1.6000000000000011E-2</v>
      </c>
    </row>
    <row r="74" spans="1:3" hidden="1" x14ac:dyDescent="0.25">
      <c r="A74"/>
      <c r="B74" s="191">
        <f t="shared" si="1"/>
        <v>22.600000000000012</v>
      </c>
      <c r="C74" s="69">
        <f t="shared" si="0"/>
        <v>1.6590000000000011E-2</v>
      </c>
    </row>
    <row r="75" spans="1:3" hidden="1" x14ac:dyDescent="0.25">
      <c r="A75"/>
      <c r="B75" s="191">
        <f t="shared" si="1"/>
        <v>23.200000000000014</v>
      </c>
      <c r="C75" s="69">
        <f t="shared" si="0"/>
        <v>1.7160000000000012E-2</v>
      </c>
    </row>
    <row r="76" spans="1:3" hidden="1" x14ac:dyDescent="0.25">
      <c r="A76"/>
      <c r="B76" s="191">
        <f t="shared" si="1"/>
        <v>23.800000000000015</v>
      </c>
      <c r="C76" s="69">
        <f t="shared" si="0"/>
        <v>1.771000000000001E-2</v>
      </c>
    </row>
    <row r="77" spans="1:3" hidden="1" x14ac:dyDescent="0.25">
      <c r="A77"/>
      <c r="B77" s="191">
        <f t="shared" si="1"/>
        <v>24.400000000000016</v>
      </c>
      <c r="C77" s="69">
        <f t="shared" si="0"/>
        <v>1.824000000000002E-2</v>
      </c>
    </row>
    <row r="78" spans="1:3" hidden="1" x14ac:dyDescent="0.25">
      <c r="A78"/>
      <c r="B78" s="191">
        <f t="shared" si="1"/>
        <v>25.000000000000018</v>
      </c>
      <c r="C78" s="69">
        <f t="shared" si="0"/>
        <v>1.8750000000000013E-2</v>
      </c>
    </row>
    <row r="79" spans="1:3" hidden="1" x14ac:dyDescent="0.25">
      <c r="A79"/>
      <c r="B79" s="191">
        <f t="shared" si="1"/>
        <v>25.600000000000019</v>
      </c>
      <c r="C79" s="69">
        <f t="shared" si="0"/>
        <v>1.9240000000000021E-2</v>
      </c>
    </row>
    <row r="80" spans="1:3" hidden="1" x14ac:dyDescent="0.25">
      <c r="A80"/>
      <c r="B80" s="191">
        <f t="shared" si="1"/>
        <v>26.200000000000021</v>
      </c>
      <c r="C80" s="69">
        <f t="shared" si="0"/>
        <v>1.9710000000000019E-2</v>
      </c>
    </row>
    <row r="81" spans="1:3" hidden="1" x14ac:dyDescent="0.25">
      <c r="A81"/>
      <c r="B81" s="191">
        <f t="shared" si="1"/>
        <v>26.800000000000022</v>
      </c>
      <c r="C81" s="69">
        <f t="shared" si="0"/>
        <v>2.0160000000000018E-2</v>
      </c>
    </row>
    <row r="82" spans="1:3" hidden="1" x14ac:dyDescent="0.25">
      <c r="A82"/>
      <c r="B82" s="191">
        <f t="shared" si="1"/>
        <v>27.400000000000023</v>
      </c>
      <c r="C82" s="69">
        <f t="shared" si="0"/>
        <v>2.0590000000000015E-2</v>
      </c>
    </row>
    <row r="83" spans="1:3" hidden="1" x14ac:dyDescent="0.25">
      <c r="A83"/>
      <c r="B83" s="191">
        <f t="shared" si="1"/>
        <v>28.000000000000025</v>
      </c>
      <c r="C83" s="69">
        <f t="shared" si="0"/>
        <v>2.1000000000000019E-2</v>
      </c>
    </row>
    <row r="84" spans="1:3" hidden="1" x14ac:dyDescent="0.25">
      <c r="A84"/>
      <c r="B84" s="191">
        <f t="shared" si="1"/>
        <v>28.600000000000026</v>
      </c>
      <c r="C84" s="69">
        <f t="shared" si="0"/>
        <v>2.139000000000002E-2</v>
      </c>
    </row>
    <row r="85" spans="1:3" hidden="1" x14ac:dyDescent="0.25">
      <c r="A85"/>
      <c r="B85" s="191">
        <f t="shared" si="1"/>
        <v>29.200000000000028</v>
      </c>
      <c r="C85" s="69">
        <f t="shared" si="0"/>
        <v>2.1760000000000019E-2</v>
      </c>
    </row>
    <row r="86" spans="1:3" hidden="1" x14ac:dyDescent="0.25">
      <c r="A86"/>
      <c r="B86" s="191">
        <f t="shared" si="1"/>
        <v>29.800000000000029</v>
      </c>
      <c r="C86" s="69">
        <f t="shared" ref="C86:C117" si="2">IF($C$15="R",_xlfn.BETA.DIST(B86,$C$19,$C$20,FALSE,$C$7,$C$8),_xlfn.BETA.DIST(B86,$C$20,$C$19,FALSE,$C$7,$C$8))</f>
        <v>2.2110000000000015E-2</v>
      </c>
    </row>
    <row r="87" spans="1:3" hidden="1" x14ac:dyDescent="0.25">
      <c r="A87"/>
      <c r="B87" s="191">
        <f t="shared" si="1"/>
        <v>30.400000000000031</v>
      </c>
      <c r="C87" s="69">
        <f t="shared" si="2"/>
        <v>2.2440000000000019E-2</v>
      </c>
    </row>
    <row r="88" spans="1:3" hidden="1" x14ac:dyDescent="0.25">
      <c r="A88"/>
      <c r="B88" s="191">
        <f t="shared" si="1"/>
        <v>31.000000000000032</v>
      </c>
      <c r="C88" s="69">
        <f t="shared" si="2"/>
        <v>2.2750000000000013E-2</v>
      </c>
    </row>
    <row r="89" spans="1:3" hidden="1" x14ac:dyDescent="0.25">
      <c r="A89"/>
      <c r="B89" s="191">
        <f t="shared" si="1"/>
        <v>31.600000000000033</v>
      </c>
      <c r="C89" s="69">
        <f t="shared" si="2"/>
        <v>2.3040000000000015E-2</v>
      </c>
    </row>
    <row r="90" spans="1:3" hidden="1" x14ac:dyDescent="0.25">
      <c r="A90"/>
      <c r="B90" s="191">
        <f t="shared" si="1"/>
        <v>32.200000000000031</v>
      </c>
      <c r="C90" s="69">
        <f t="shared" si="2"/>
        <v>2.3310000000000015E-2</v>
      </c>
    </row>
    <row r="91" spans="1:3" hidden="1" x14ac:dyDescent="0.25">
      <c r="A91"/>
      <c r="B91" s="191">
        <f t="shared" si="1"/>
        <v>32.800000000000033</v>
      </c>
      <c r="C91" s="69">
        <f t="shared" si="2"/>
        <v>2.3560000000000015E-2</v>
      </c>
    </row>
    <row r="92" spans="1:3" hidden="1" x14ac:dyDescent="0.25">
      <c r="A92"/>
      <c r="B92" s="191">
        <f t="shared" si="1"/>
        <v>33.400000000000034</v>
      </c>
      <c r="C92" s="69">
        <f t="shared" si="2"/>
        <v>2.3790000000000016E-2</v>
      </c>
    </row>
    <row r="93" spans="1:3" hidden="1" x14ac:dyDescent="0.25">
      <c r="A93"/>
      <c r="B93" s="191">
        <f t="shared" si="1"/>
        <v>34.000000000000036</v>
      </c>
      <c r="C93" s="69">
        <f t="shared" si="2"/>
        <v>2.4000000000000014E-2</v>
      </c>
    </row>
    <row r="94" spans="1:3" hidden="1" x14ac:dyDescent="0.25">
      <c r="A94"/>
      <c r="B94" s="191">
        <f t="shared" si="1"/>
        <v>34.600000000000037</v>
      </c>
      <c r="C94" s="69">
        <f t="shared" si="2"/>
        <v>2.419000000000001E-2</v>
      </c>
    </row>
    <row r="95" spans="1:3" hidden="1" x14ac:dyDescent="0.25">
      <c r="A95"/>
      <c r="B95" s="191">
        <f t="shared" si="1"/>
        <v>35.200000000000038</v>
      </c>
      <c r="C95" s="69">
        <f t="shared" si="2"/>
        <v>2.436000000000001E-2</v>
      </c>
    </row>
    <row r="96" spans="1:3" hidden="1" x14ac:dyDescent="0.25">
      <c r="A96"/>
      <c r="B96" s="191">
        <f t="shared" si="1"/>
        <v>35.80000000000004</v>
      </c>
      <c r="C96" s="69">
        <f t="shared" si="2"/>
        <v>2.4510000000000014E-2</v>
      </c>
    </row>
    <row r="97" spans="1:3" hidden="1" x14ac:dyDescent="0.25">
      <c r="A97"/>
      <c r="B97" s="191">
        <f t="shared" si="1"/>
        <v>36.400000000000041</v>
      </c>
      <c r="C97" s="69">
        <f t="shared" si="2"/>
        <v>2.4640000000000009E-2</v>
      </c>
    </row>
    <row r="98" spans="1:3" hidden="1" x14ac:dyDescent="0.25">
      <c r="A98"/>
      <c r="B98" s="191">
        <f t="shared" si="1"/>
        <v>37.000000000000043</v>
      </c>
      <c r="C98" s="69">
        <f t="shared" si="2"/>
        <v>2.4750000000000008E-2</v>
      </c>
    </row>
    <row r="99" spans="1:3" hidden="1" x14ac:dyDescent="0.25">
      <c r="A99"/>
      <c r="B99" s="191">
        <f t="shared" si="1"/>
        <v>37.600000000000044</v>
      </c>
      <c r="C99" s="69">
        <f t="shared" si="2"/>
        <v>2.4840000000000008E-2</v>
      </c>
    </row>
    <row r="100" spans="1:3" hidden="1" x14ac:dyDescent="0.25">
      <c r="A100"/>
      <c r="B100" s="191">
        <f t="shared" si="1"/>
        <v>38.200000000000045</v>
      </c>
      <c r="C100" s="69">
        <f t="shared" si="2"/>
        <v>2.4910000000000002E-2</v>
      </c>
    </row>
    <row r="101" spans="1:3" hidden="1" x14ac:dyDescent="0.25">
      <c r="A101"/>
      <c r="B101" s="191">
        <f t="shared" si="1"/>
        <v>38.800000000000047</v>
      </c>
      <c r="C101" s="69">
        <f t="shared" si="2"/>
        <v>2.4960000000000003E-2</v>
      </c>
    </row>
    <row r="102" spans="1:3" hidden="1" x14ac:dyDescent="0.25">
      <c r="A102"/>
      <c r="B102" s="191">
        <f t="shared" si="1"/>
        <v>39.400000000000048</v>
      </c>
      <c r="C102" s="69">
        <f t="shared" si="2"/>
        <v>2.4990000000000002E-2</v>
      </c>
    </row>
    <row r="103" spans="1:3" hidden="1" x14ac:dyDescent="0.25">
      <c r="A103"/>
      <c r="B103" s="191">
        <f t="shared" si="1"/>
        <v>40.00000000000005</v>
      </c>
      <c r="C103" s="69">
        <f t="shared" si="2"/>
        <v>2.5000000000000001E-2</v>
      </c>
    </row>
    <row r="104" spans="1:3" hidden="1" x14ac:dyDescent="0.25">
      <c r="A104"/>
      <c r="B104" s="191">
        <f t="shared" si="1"/>
        <v>40.600000000000051</v>
      </c>
      <c r="C104" s="69">
        <f t="shared" si="2"/>
        <v>2.4990000000000002E-2</v>
      </c>
    </row>
    <row r="105" spans="1:3" hidden="1" x14ac:dyDescent="0.25">
      <c r="A105"/>
      <c r="B105" s="191">
        <f t="shared" si="1"/>
        <v>41.200000000000053</v>
      </c>
      <c r="C105" s="69">
        <f t="shared" si="2"/>
        <v>2.4959999999999996E-2</v>
      </c>
    </row>
    <row r="106" spans="1:3" hidden="1" x14ac:dyDescent="0.25">
      <c r="A106"/>
      <c r="B106" s="191">
        <f t="shared" si="1"/>
        <v>41.800000000000054</v>
      </c>
      <c r="C106" s="69">
        <f t="shared" si="2"/>
        <v>2.4909999999999995E-2</v>
      </c>
    </row>
    <row r="107" spans="1:3" hidden="1" x14ac:dyDescent="0.25">
      <c r="A107"/>
      <c r="B107" s="191">
        <f t="shared" si="1"/>
        <v>42.400000000000055</v>
      </c>
      <c r="C107" s="69">
        <f t="shared" si="2"/>
        <v>2.4839999999999994E-2</v>
      </c>
    </row>
    <row r="108" spans="1:3" hidden="1" x14ac:dyDescent="0.25">
      <c r="A108"/>
      <c r="B108" s="191">
        <f t="shared" si="1"/>
        <v>43.000000000000057</v>
      </c>
      <c r="C108" s="69">
        <f t="shared" si="2"/>
        <v>2.4749999999999991E-2</v>
      </c>
    </row>
    <row r="109" spans="1:3" hidden="1" x14ac:dyDescent="0.25">
      <c r="A109"/>
      <c r="B109" s="191">
        <f t="shared" si="1"/>
        <v>43.600000000000058</v>
      </c>
      <c r="C109" s="69">
        <f t="shared" si="2"/>
        <v>2.4639999999999988E-2</v>
      </c>
    </row>
    <row r="110" spans="1:3" hidden="1" x14ac:dyDescent="0.25">
      <c r="A110"/>
      <c r="B110" s="191">
        <f t="shared" si="1"/>
        <v>44.20000000000006</v>
      </c>
      <c r="C110" s="69">
        <f t="shared" si="2"/>
        <v>2.4509999999999987E-2</v>
      </c>
    </row>
    <row r="111" spans="1:3" hidden="1" x14ac:dyDescent="0.25">
      <c r="A111"/>
      <c r="B111" s="191">
        <f t="shared" si="1"/>
        <v>44.800000000000061</v>
      </c>
      <c r="C111" s="69">
        <f t="shared" si="2"/>
        <v>2.4359999999999986E-2</v>
      </c>
    </row>
    <row r="112" spans="1:3" hidden="1" x14ac:dyDescent="0.25">
      <c r="A112"/>
      <c r="B112" s="191">
        <f t="shared" si="1"/>
        <v>45.400000000000063</v>
      </c>
      <c r="C112" s="69">
        <f t="shared" si="2"/>
        <v>2.4189999999999982E-2</v>
      </c>
    </row>
    <row r="113" spans="1:3" hidden="1" x14ac:dyDescent="0.25">
      <c r="A113"/>
      <c r="B113" s="191">
        <f t="shared" si="1"/>
        <v>46.000000000000064</v>
      </c>
      <c r="C113" s="69">
        <f t="shared" si="2"/>
        <v>2.399999999999998E-2</v>
      </c>
    </row>
    <row r="114" spans="1:3" hidden="1" x14ac:dyDescent="0.25">
      <c r="A114"/>
      <c r="B114" s="191">
        <f t="shared" si="1"/>
        <v>46.600000000000065</v>
      </c>
      <c r="C114" s="69">
        <f t="shared" si="2"/>
        <v>2.3789999999999978E-2</v>
      </c>
    </row>
    <row r="115" spans="1:3" hidden="1" x14ac:dyDescent="0.25">
      <c r="A115"/>
      <c r="B115" s="191">
        <f t="shared" si="1"/>
        <v>47.200000000000067</v>
      </c>
      <c r="C115" s="69">
        <f t="shared" si="2"/>
        <v>2.3559999999999973E-2</v>
      </c>
    </row>
    <row r="116" spans="1:3" hidden="1" x14ac:dyDescent="0.25">
      <c r="A116"/>
      <c r="B116" s="191">
        <f t="shared" si="1"/>
        <v>47.800000000000068</v>
      </c>
      <c r="C116" s="69">
        <f t="shared" si="2"/>
        <v>2.3309999999999973E-2</v>
      </c>
    </row>
    <row r="117" spans="1:3" hidden="1" x14ac:dyDescent="0.25">
      <c r="A117"/>
      <c r="B117" s="191">
        <f t="shared" si="1"/>
        <v>48.40000000000007</v>
      </c>
      <c r="C117" s="69">
        <f t="shared" si="2"/>
        <v>2.3039999999999967E-2</v>
      </c>
    </row>
    <row r="118" spans="1:3" hidden="1" x14ac:dyDescent="0.25">
      <c r="A118"/>
      <c r="B118" s="191">
        <f t="shared" si="1"/>
        <v>49.000000000000071</v>
      </c>
      <c r="C118" s="69">
        <f t="shared" ref="C118:C149" si="3">IF($C$15="R",_xlfn.BETA.DIST(B118,$C$19,$C$20,FALSE,$C$7,$C$8),_xlfn.BETA.DIST(B118,$C$20,$C$19,FALSE,$C$7,$C$8))</f>
        <v>2.2749999999999968E-2</v>
      </c>
    </row>
    <row r="119" spans="1:3" hidden="1" x14ac:dyDescent="0.25">
      <c r="A119"/>
      <c r="B119" s="191">
        <f t="shared" ref="B119:B153" si="4">IF(ISNONTEXT($C$51),B118+$C$51,"")</f>
        <v>49.600000000000072</v>
      </c>
      <c r="C119" s="69">
        <f t="shared" si="3"/>
        <v>2.243999999999996E-2</v>
      </c>
    </row>
    <row r="120" spans="1:3" hidden="1" x14ac:dyDescent="0.25">
      <c r="A120"/>
      <c r="B120" s="191">
        <f t="shared" si="4"/>
        <v>50.200000000000074</v>
      </c>
      <c r="C120" s="69">
        <f t="shared" si="3"/>
        <v>2.210999999999996E-2</v>
      </c>
    </row>
    <row r="121" spans="1:3" hidden="1" x14ac:dyDescent="0.25">
      <c r="A121"/>
      <c r="B121" s="191">
        <f t="shared" si="4"/>
        <v>50.800000000000075</v>
      </c>
      <c r="C121" s="69">
        <f t="shared" si="3"/>
        <v>2.1759999999999956E-2</v>
      </c>
    </row>
    <row r="122" spans="1:3" hidden="1" x14ac:dyDescent="0.25">
      <c r="A122"/>
      <c r="B122" s="191">
        <f t="shared" si="4"/>
        <v>51.400000000000077</v>
      </c>
      <c r="C122" s="69">
        <f t="shared" si="3"/>
        <v>2.1389999999999954E-2</v>
      </c>
    </row>
    <row r="123" spans="1:3" hidden="1" x14ac:dyDescent="0.25">
      <c r="A123"/>
      <c r="B123" s="191">
        <f t="shared" si="4"/>
        <v>52.000000000000078</v>
      </c>
      <c r="C123" s="69">
        <f t="shared" si="3"/>
        <v>2.0999999999999949E-2</v>
      </c>
    </row>
    <row r="124" spans="1:3" hidden="1" x14ac:dyDescent="0.25">
      <c r="A124"/>
      <c r="B124" s="191">
        <f t="shared" si="4"/>
        <v>52.60000000000008</v>
      </c>
      <c r="C124" s="69">
        <f t="shared" si="3"/>
        <v>2.0589999999999949E-2</v>
      </c>
    </row>
    <row r="125" spans="1:3" hidden="1" x14ac:dyDescent="0.25">
      <c r="A125"/>
      <c r="B125" s="191">
        <f t="shared" si="4"/>
        <v>53.200000000000081</v>
      </c>
      <c r="C125" s="69">
        <f t="shared" si="3"/>
        <v>2.0159999999999945E-2</v>
      </c>
    </row>
    <row r="126" spans="1:3" hidden="1" x14ac:dyDescent="0.25">
      <c r="A126"/>
      <c r="B126" s="191">
        <f t="shared" si="4"/>
        <v>53.800000000000082</v>
      </c>
      <c r="C126" s="69">
        <f t="shared" si="3"/>
        <v>1.9709999999999936E-2</v>
      </c>
    </row>
    <row r="127" spans="1:3" hidden="1" x14ac:dyDescent="0.25">
      <c r="A127"/>
      <c r="B127" s="191">
        <f t="shared" si="4"/>
        <v>54.400000000000084</v>
      </c>
      <c r="C127" s="69">
        <f t="shared" si="3"/>
        <v>1.9239999999999931E-2</v>
      </c>
    </row>
    <row r="128" spans="1:3" hidden="1" x14ac:dyDescent="0.25">
      <c r="A128"/>
      <c r="B128" s="191">
        <f t="shared" si="4"/>
        <v>55.000000000000085</v>
      </c>
      <c r="C128" s="69">
        <f t="shared" si="3"/>
        <v>1.8749999999999926E-2</v>
      </c>
    </row>
    <row r="129" spans="1:3" hidden="1" x14ac:dyDescent="0.25">
      <c r="A129"/>
      <c r="B129" s="191">
        <f t="shared" si="4"/>
        <v>55.600000000000087</v>
      </c>
      <c r="C129" s="69">
        <f t="shared" si="3"/>
        <v>1.823999999999993E-2</v>
      </c>
    </row>
    <row r="130" spans="1:3" hidden="1" x14ac:dyDescent="0.25">
      <c r="A130"/>
      <c r="B130" s="191">
        <f t="shared" si="4"/>
        <v>56.200000000000088</v>
      </c>
      <c r="C130" s="69">
        <f t="shared" si="3"/>
        <v>1.7709999999999924E-2</v>
      </c>
    </row>
    <row r="131" spans="1:3" hidden="1" x14ac:dyDescent="0.25">
      <c r="A131"/>
      <c r="B131" s="191">
        <f t="shared" si="4"/>
        <v>56.80000000000009</v>
      </c>
      <c r="C131" s="69">
        <f t="shared" si="3"/>
        <v>1.7159999999999918E-2</v>
      </c>
    </row>
    <row r="132" spans="1:3" hidden="1" x14ac:dyDescent="0.25">
      <c r="A132"/>
      <c r="B132" s="191">
        <f t="shared" si="4"/>
        <v>57.400000000000091</v>
      </c>
      <c r="C132" s="69">
        <f t="shared" si="3"/>
        <v>1.6589999999999917E-2</v>
      </c>
    </row>
    <row r="133" spans="1:3" hidden="1" x14ac:dyDescent="0.25">
      <c r="A133"/>
      <c r="B133" s="191">
        <f t="shared" si="4"/>
        <v>58.000000000000092</v>
      </c>
      <c r="C133" s="69">
        <f t="shared" si="3"/>
        <v>1.599999999999991E-2</v>
      </c>
    </row>
    <row r="134" spans="1:3" hidden="1" x14ac:dyDescent="0.25">
      <c r="A134"/>
      <c r="B134" s="191">
        <f t="shared" si="4"/>
        <v>58.600000000000094</v>
      </c>
      <c r="C134" s="69">
        <f t="shared" si="3"/>
        <v>1.53899999999999E-2</v>
      </c>
    </row>
    <row r="135" spans="1:3" hidden="1" x14ac:dyDescent="0.25">
      <c r="A135"/>
      <c r="B135" s="191">
        <f t="shared" si="4"/>
        <v>59.200000000000095</v>
      </c>
      <c r="C135" s="69">
        <f t="shared" si="3"/>
        <v>1.47599999999999E-2</v>
      </c>
    </row>
    <row r="136" spans="1:3" hidden="1" x14ac:dyDescent="0.25">
      <c r="A136"/>
      <c r="B136" s="191">
        <f t="shared" si="4"/>
        <v>59.800000000000097</v>
      </c>
      <c r="C136" s="69">
        <f t="shared" si="3"/>
        <v>1.4109999999999893E-2</v>
      </c>
    </row>
    <row r="137" spans="1:3" hidden="1" x14ac:dyDescent="0.25">
      <c r="A137"/>
      <c r="B137" s="191">
        <f t="shared" si="4"/>
        <v>60.400000000000098</v>
      </c>
      <c r="C137" s="69">
        <f t="shared" si="3"/>
        <v>1.3439999999999888E-2</v>
      </c>
    </row>
    <row r="138" spans="1:3" hidden="1" x14ac:dyDescent="0.25">
      <c r="A138"/>
      <c r="B138" s="191">
        <f t="shared" si="4"/>
        <v>61.000000000000099</v>
      </c>
      <c r="C138" s="69">
        <f t="shared" si="3"/>
        <v>1.2749999999999883E-2</v>
      </c>
    </row>
    <row r="139" spans="1:3" hidden="1" x14ac:dyDescent="0.25">
      <c r="A139"/>
      <c r="B139" s="191">
        <f t="shared" si="4"/>
        <v>61.600000000000101</v>
      </c>
      <c r="C139" s="69">
        <f t="shared" si="3"/>
        <v>1.2039999999999882E-2</v>
      </c>
    </row>
    <row r="140" spans="1:3" hidden="1" x14ac:dyDescent="0.25">
      <c r="A140"/>
      <c r="B140" s="191">
        <f t="shared" si="4"/>
        <v>62.200000000000102</v>
      </c>
      <c r="C140" s="69">
        <f t="shared" si="3"/>
        <v>1.1309999999999877E-2</v>
      </c>
    </row>
    <row r="141" spans="1:3" hidden="1" x14ac:dyDescent="0.25">
      <c r="A141"/>
      <c r="B141" s="191">
        <f t="shared" si="4"/>
        <v>62.800000000000104</v>
      </c>
      <c r="C141" s="69">
        <f t="shared" si="3"/>
        <v>1.0559999999999866E-2</v>
      </c>
    </row>
    <row r="142" spans="1:3" hidden="1" x14ac:dyDescent="0.25">
      <c r="A142"/>
      <c r="B142" s="191">
        <f t="shared" si="4"/>
        <v>63.400000000000105</v>
      </c>
      <c r="C142" s="69">
        <f t="shared" si="3"/>
        <v>9.7899999999998613E-3</v>
      </c>
    </row>
    <row r="143" spans="1:3" hidden="1" x14ac:dyDescent="0.25">
      <c r="A143"/>
      <c r="B143" s="191">
        <f t="shared" si="4"/>
        <v>64.000000000000099</v>
      </c>
      <c r="C143" s="69">
        <f t="shared" si="3"/>
        <v>8.9999999999998657E-3</v>
      </c>
    </row>
    <row r="144" spans="1:3" hidden="1" x14ac:dyDescent="0.25">
      <c r="A144"/>
      <c r="B144" s="191">
        <f t="shared" si="4"/>
        <v>64.600000000000094</v>
      </c>
      <c r="C144" s="69">
        <f t="shared" si="3"/>
        <v>8.189999999999871E-3</v>
      </c>
    </row>
    <row r="145" spans="1:4" hidden="1" x14ac:dyDescent="0.25">
      <c r="A145"/>
      <c r="B145" s="191">
        <f t="shared" si="4"/>
        <v>65.200000000000088</v>
      </c>
      <c r="C145" s="69">
        <f t="shared" si="3"/>
        <v>7.3599999999998753E-3</v>
      </c>
    </row>
    <row r="146" spans="1:4" hidden="1" x14ac:dyDescent="0.25">
      <c r="A146"/>
      <c r="B146" s="191">
        <f t="shared" si="4"/>
        <v>65.800000000000082</v>
      </c>
      <c r="C146" s="69">
        <f t="shared" si="3"/>
        <v>6.5099999999998813E-3</v>
      </c>
    </row>
    <row r="147" spans="1:4" hidden="1" x14ac:dyDescent="0.25">
      <c r="A147"/>
      <c r="B147" s="191">
        <f t="shared" si="4"/>
        <v>66.400000000000077</v>
      </c>
      <c r="C147" s="69">
        <f t="shared" si="3"/>
        <v>5.6399999999998864E-3</v>
      </c>
    </row>
    <row r="148" spans="1:4" hidden="1" x14ac:dyDescent="0.25">
      <c r="A148"/>
      <c r="B148" s="191">
        <f t="shared" si="4"/>
        <v>67.000000000000071</v>
      </c>
      <c r="C148" s="69">
        <f t="shared" si="3"/>
        <v>4.7499999999998958E-3</v>
      </c>
    </row>
    <row r="149" spans="1:4" hidden="1" x14ac:dyDescent="0.25">
      <c r="A149"/>
      <c r="B149" s="191">
        <f t="shared" si="4"/>
        <v>67.600000000000065</v>
      </c>
      <c r="C149" s="69">
        <f t="shared" si="3"/>
        <v>3.8399999999999008E-3</v>
      </c>
    </row>
    <row r="150" spans="1:4" hidden="1" x14ac:dyDescent="0.25">
      <c r="A150"/>
      <c r="B150" s="191">
        <f t="shared" si="4"/>
        <v>68.20000000000006</v>
      </c>
      <c r="C150" s="69">
        <f t="shared" ref="C150:C152" si="5">IF($C$15="R",_xlfn.BETA.DIST(B150,$C$19,$C$20,FALSE,$C$7,$C$8),_xlfn.BETA.DIST(B150,$C$20,$C$19,FALSE,$C$7,$C$8))</f>
        <v>2.9099999999999096E-3</v>
      </c>
    </row>
    <row r="151" spans="1:4" hidden="1" x14ac:dyDescent="0.25">
      <c r="A151"/>
      <c r="B151" s="191">
        <f t="shared" si="4"/>
        <v>68.800000000000054</v>
      </c>
      <c r="C151" s="69">
        <f t="shared" si="5"/>
        <v>1.9599999999999162E-3</v>
      </c>
    </row>
    <row r="152" spans="1:4" hidden="1" x14ac:dyDescent="0.25">
      <c r="A152"/>
      <c r="B152" s="191">
        <f t="shared" si="4"/>
        <v>69.400000000000048</v>
      </c>
      <c r="C152" s="69">
        <f t="shared" si="5"/>
        <v>9.8999999999992453E-4</v>
      </c>
    </row>
    <row r="153" spans="1:4" hidden="1" x14ac:dyDescent="0.25">
      <c r="A153"/>
      <c r="B153" s="191">
        <f t="shared" si="4"/>
        <v>70.000000000000043</v>
      </c>
      <c r="C153" s="206">
        <f>IF($C$15="R",_xlfn.BETA.DIST(B153-0.001,$C$19,$C$20,FALSE,$C$7,$C$8),_xlfn.BETA.DIST(B153-0.001,$C$20,$C$19,FALSE,$C$7,$C$8))</f>
        <v>1.6666388888220932E-6</v>
      </c>
      <c r="D153" s="17"/>
    </row>
    <row r="154" spans="1:4" x14ac:dyDescent="0.25">
      <c r="A154"/>
      <c r="B154" s="192" t="s">
        <v>681</v>
      </c>
      <c r="C154"/>
    </row>
  </sheetData>
  <mergeCells count="6">
    <mergeCell ref="C1:H1"/>
    <mergeCell ref="B38:N38"/>
    <mergeCell ref="B39:N39"/>
    <mergeCell ref="B35:N35"/>
    <mergeCell ref="B36:N36"/>
    <mergeCell ref="B37:N37"/>
  </mergeCells>
  <conditionalFormatting sqref="C9">
    <cfRule type="iconSet" priority="2">
      <iconSet iconSet="3Symbols2" showValue="0">
        <cfvo type="percent" val="0"/>
        <cfvo type="percent" val="0.5"/>
        <cfvo type="num" val="1"/>
      </iconSet>
    </cfRule>
  </conditionalFormatting>
  <hyperlinks>
    <hyperlink ref="B37:N37" r:id="rId1" display="Watch Statistical PERT videos on YouTube " xr:uid="{83A26489-5FEE-4710-8E1F-5A09D5B2A3D6}"/>
    <hyperlink ref="B38" r:id="rId2" display="Follow Statistical PERT on Twitter to learn when new updates are released" xr:uid="{5B283C70-F941-4AF6-AAF8-9C04FCF736F5}"/>
    <hyperlink ref="B37" r:id="rId3" xr:uid="{F4EDCC05-605B-471D-8FC8-D3AD58B07AF1}"/>
    <hyperlink ref="B36" r:id="rId4" display="Take a Pluralsight course on Statistical PERT" xr:uid="{57C884D7-8BB1-412F-80BA-70031D8DDB4E}"/>
    <hyperlink ref="B35" r:id="rId5" display="Download more FREE Statistical PERT templates at https://www.statisticalpert.com" xr:uid="{CA7A0D40-8AE3-44FA-ADA0-5E83258987E5}"/>
    <hyperlink ref="B39:N39" r:id="rId6" display="Follow Statistical PERT on Twitter to learn when new updates are released" xr:uid="{81656341-C180-44AE-A201-C9E5CA6090AE}"/>
    <hyperlink ref="B38:N38" r:id="rId7" display="Connect with or follow William W. Davis on LinkedIn" xr:uid="{BDF9E6BB-39B0-463F-B300-EF83223380C5}"/>
    <hyperlink ref="B36:N36" r:id="rId8" display="Watch a Pluralsight course on Statistical PERT® Normal Edition" xr:uid="{6C71418A-F4F0-4062-9712-9DF768A40450}"/>
    <hyperlink ref="B49" r:id="rId9" xr:uid="{B6114B2E-DF36-41E9-B722-9A9B760177E5}"/>
  </hyperlinks>
  <pageMargins left="0.7" right="0.7" top="0.75" bottom="0.75" header="0.3" footer="0.3"/>
  <pageSetup orientation="portrait" horizontalDpi="0" verticalDpi="0" r:id="rId10"/>
  <drawing r:id="rId11"/>
  <extLst>
    <ext xmlns:x14="http://schemas.microsoft.com/office/spreadsheetml/2009/9/main" uri="{78C0D931-6437-407d-A8EE-F0AAD7539E65}">
      <x14:conditionalFormattings>
        <x14:conditionalFormatting xmlns:xm="http://schemas.microsoft.com/office/excel/2006/main">
          <x14:cfRule type="expression" priority="15" id="{08F57452-4C94-4648-8783-9A7F909FC067}">
            <xm:f>IF($C$22=VLookups!$A$33,TRUE,FALSE)</xm:f>
            <x14:dxf>
              <numFmt numFmtId="168" formatCode="&quot;$&quot;#,##0"/>
            </x14:dxf>
          </x14:cfRule>
          <xm:sqref>C7:C10 C5 C25:C26 C13 C16:C21</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0C932A8-3812-4288-9CA2-A88A67FB16EB}">
          <x14:formula1>
            <xm:f>Confidence!$A$1:$A$10</xm:f>
          </x14:formula1>
          <xm:sqref>C6</xm:sqref>
        </x14:dataValidation>
        <x14:dataValidation type="list" allowBlank="1" showInputMessage="1" showErrorMessage="1" xr:uid="{CDB770CD-63E9-4C42-ADB2-C20EABFCFEC1}">
          <x14:formula1>
            <xm:f>VLookups!$A$28:$A$29</xm:f>
          </x14:formula1>
          <xm:sqref>C21:C22</xm:sqref>
        </x14:dataValidation>
        <x14:dataValidation type="list" allowBlank="1" showInputMessage="1" showErrorMessage="1" xr:uid="{73BD1C2D-3616-4784-A8CD-C2A9EB139531}">
          <x14:formula1>
            <xm:f>VLookups!$A$33:$A$34</xm:f>
          </x14:formula1>
          <xm:sqref>C22</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AECBF379-7A47-47AC-879D-7C562C5CE9D2}">
          <x14:colorSeries rgb="FF000000"/>
          <x14:colorNegative rgb="FF0070C0"/>
          <x14:colorAxis rgb="FF000000"/>
          <x14:colorMarkers rgb="FF0070C0"/>
          <x14:colorFirst rgb="FF0070C0"/>
          <x14:colorLast rgb="FF0070C0"/>
          <x14:colorHigh rgb="FF0070C0"/>
          <x14:colorLow rgb="FF0070C0"/>
          <x14:sparklines>
            <x14:sparkline>
              <xm:f>'SPERT® Beta - Agile Forecast'!C53:C153</xm:f>
              <xm:sqref>C23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2.0n – © 2015-2019, William W. Davis, MSPM, PMP</v>
      </c>
    </row>
    <row r="18" spans="1:10" x14ac:dyDescent="0.25">
      <c r="A18" s="278" t="s">
        <v>137</v>
      </c>
      <c r="B18" s="278"/>
      <c r="C18" s="278"/>
      <c r="D18" s="278"/>
      <c r="E18" s="278"/>
      <c r="F18" s="278"/>
      <c r="G18" s="278"/>
      <c r="H18" s="278"/>
      <c r="I18" s="278"/>
      <c r="J18" s="278"/>
    </row>
    <row r="19" spans="1:10" x14ac:dyDescent="0.25">
      <c r="A19" s="278" t="s">
        <v>136</v>
      </c>
      <c r="B19" s="278"/>
      <c r="C19" s="278"/>
      <c r="D19" s="278"/>
      <c r="E19" s="278"/>
      <c r="F19" s="278"/>
      <c r="G19" s="278"/>
      <c r="H19" s="278"/>
      <c r="I19" s="278"/>
      <c r="J19" s="278"/>
    </row>
    <row r="20" spans="1:10" x14ac:dyDescent="0.25">
      <c r="A20" s="278" t="s">
        <v>91</v>
      </c>
      <c r="B20" s="278"/>
      <c r="C20" s="278"/>
      <c r="D20" s="278"/>
      <c r="E20" s="278"/>
      <c r="F20" s="278"/>
      <c r="G20" s="278"/>
      <c r="H20" s="278"/>
      <c r="I20" s="278"/>
      <c r="J20" s="278"/>
    </row>
    <row r="21" spans="1:10" x14ac:dyDescent="0.25">
      <c r="A21" s="278" t="s">
        <v>149</v>
      </c>
      <c r="B21" s="278"/>
      <c r="C21" s="278"/>
      <c r="D21" s="278"/>
      <c r="E21" s="278"/>
      <c r="F21" s="278"/>
      <c r="G21" s="278"/>
      <c r="H21" s="278"/>
      <c r="I21" s="278"/>
      <c r="J21" s="278"/>
    </row>
    <row r="22" spans="1:10" x14ac:dyDescent="0.25">
      <c r="A22" s="278" t="s">
        <v>92</v>
      </c>
      <c r="B22" s="278"/>
      <c r="C22" s="278"/>
      <c r="D22" s="278"/>
      <c r="E22" s="278"/>
      <c r="F22" s="278"/>
      <c r="G22" s="278"/>
      <c r="H22" s="278"/>
      <c r="I22" s="278"/>
      <c r="J22" s="278"/>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2.0n – © 2015-2019, William W. Davis, MSPM, PMP</v>
      </c>
    </row>
    <row r="13" spans="1:10" x14ac:dyDescent="0.25">
      <c r="A13" s="278" t="s">
        <v>137</v>
      </c>
      <c r="B13" s="278"/>
      <c r="C13" s="278"/>
      <c r="D13" s="278"/>
      <c r="E13" s="278"/>
      <c r="F13" s="278"/>
      <c r="G13" s="278"/>
      <c r="H13" s="278"/>
      <c r="I13" s="278"/>
      <c r="J13" s="278"/>
    </row>
    <row r="14" spans="1:10" x14ac:dyDescent="0.25">
      <c r="A14" s="278" t="s">
        <v>136</v>
      </c>
      <c r="B14" s="278"/>
      <c r="C14" s="278"/>
      <c r="D14" s="278"/>
      <c r="E14" s="278"/>
      <c r="F14" s="278"/>
      <c r="G14" s="278"/>
      <c r="H14" s="278"/>
      <c r="I14" s="278"/>
      <c r="J14" s="278"/>
    </row>
    <row r="15" spans="1:10" x14ac:dyDescent="0.25">
      <c r="A15" s="278" t="s">
        <v>91</v>
      </c>
      <c r="B15" s="278"/>
      <c r="C15" s="278"/>
      <c r="D15" s="278"/>
      <c r="E15" s="278"/>
      <c r="F15" s="278"/>
      <c r="G15" s="278"/>
      <c r="H15" s="278"/>
      <c r="I15" s="278"/>
      <c r="J15" s="278"/>
    </row>
    <row r="16" spans="1:10" x14ac:dyDescent="0.25">
      <c r="A16" s="278" t="s">
        <v>149</v>
      </c>
      <c r="B16" s="278"/>
      <c r="C16" s="278"/>
      <c r="D16" s="278"/>
      <c r="E16" s="278"/>
      <c r="F16" s="278"/>
      <c r="G16" s="278"/>
      <c r="H16" s="278"/>
      <c r="I16" s="278"/>
      <c r="J16" s="278"/>
    </row>
    <row r="17" spans="1:10" x14ac:dyDescent="0.25">
      <c r="A17" s="278" t="s">
        <v>92</v>
      </c>
      <c r="B17" s="278"/>
      <c r="C17" s="278"/>
      <c r="D17" s="278"/>
      <c r="E17" s="278"/>
      <c r="F17" s="278"/>
      <c r="G17" s="278"/>
      <c r="H17" s="278"/>
      <c r="I17" s="278"/>
      <c r="J17" s="278"/>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2.0n – © 2015-2019, William W. Davis, MSPM, PMP</v>
      </c>
    </row>
    <row r="37" spans="1:12" x14ac:dyDescent="0.25">
      <c r="A37" s="278" t="s">
        <v>137</v>
      </c>
      <c r="B37" s="278"/>
      <c r="C37" s="278"/>
      <c r="D37" s="278"/>
      <c r="E37" s="278"/>
      <c r="F37" s="278"/>
      <c r="G37" s="278"/>
      <c r="H37" s="278"/>
      <c r="I37" s="278"/>
      <c r="J37" s="278"/>
    </row>
    <row r="38" spans="1:12" x14ac:dyDescent="0.25">
      <c r="A38" s="278" t="s">
        <v>136</v>
      </c>
      <c r="B38" s="278"/>
      <c r="C38" s="278"/>
      <c r="D38" s="278"/>
      <c r="E38" s="278"/>
      <c r="F38" s="278"/>
      <c r="G38" s="278"/>
      <c r="H38" s="278"/>
      <c r="I38" s="278"/>
      <c r="J38" s="278"/>
    </row>
    <row r="39" spans="1:12" x14ac:dyDescent="0.25">
      <c r="A39" s="278" t="s">
        <v>91</v>
      </c>
      <c r="B39" s="278"/>
      <c r="C39" s="278"/>
      <c r="D39" s="278"/>
      <c r="E39" s="278"/>
      <c r="F39" s="278"/>
      <c r="G39" s="278"/>
      <c r="H39" s="278"/>
      <c r="I39" s="278"/>
      <c r="J39" s="278"/>
    </row>
    <row r="40" spans="1:12" x14ac:dyDescent="0.25">
      <c r="A40" s="278" t="s">
        <v>149</v>
      </c>
      <c r="B40" s="278"/>
      <c r="C40" s="278"/>
      <c r="D40" s="278"/>
      <c r="E40" s="278"/>
      <c r="F40" s="278"/>
      <c r="G40" s="278"/>
      <c r="H40" s="278"/>
      <c r="I40" s="278"/>
      <c r="J40" s="278"/>
    </row>
    <row r="41" spans="1:12" x14ac:dyDescent="0.25">
      <c r="A41" s="278" t="s">
        <v>92</v>
      </c>
      <c r="B41" s="278"/>
      <c r="C41" s="278"/>
      <c r="D41" s="278"/>
      <c r="E41" s="278"/>
      <c r="F41" s="278"/>
      <c r="G41" s="278"/>
      <c r="H41" s="278"/>
      <c r="I41" s="278"/>
      <c r="J41" s="278"/>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2.0n – © 2015-2019, William W. Davis, MSPM, PMP</v>
      </c>
      <c r="B18" s="53"/>
      <c r="C18" s="53"/>
      <c r="D18" s="53"/>
      <c r="E18" s="53"/>
      <c r="F18" s="53"/>
      <c r="G18" s="53"/>
      <c r="H18" s="53"/>
      <c r="I18" s="53"/>
      <c r="J18" s="53"/>
      <c r="K18" s="53"/>
    </row>
    <row r="19" spans="1:11" x14ac:dyDescent="0.25">
      <c r="A19" s="278" t="s">
        <v>137</v>
      </c>
      <c r="B19" s="278"/>
      <c r="C19" s="278"/>
      <c r="D19" s="278"/>
      <c r="E19" s="278"/>
      <c r="F19" s="278"/>
      <c r="G19" s="278"/>
      <c r="H19" s="278"/>
      <c r="I19" s="278"/>
      <c r="J19" s="278"/>
    </row>
    <row r="20" spans="1:11" x14ac:dyDescent="0.25">
      <c r="A20" s="278" t="s">
        <v>136</v>
      </c>
      <c r="B20" s="278"/>
      <c r="C20" s="278"/>
      <c r="D20" s="278"/>
      <c r="E20" s="278"/>
      <c r="F20" s="278"/>
      <c r="G20" s="278"/>
      <c r="H20" s="278"/>
      <c r="I20" s="278"/>
      <c r="J20" s="278"/>
    </row>
    <row r="21" spans="1:11" x14ac:dyDescent="0.25">
      <c r="A21" s="278" t="s">
        <v>91</v>
      </c>
      <c r="B21" s="278"/>
      <c r="C21" s="278"/>
      <c r="D21" s="278"/>
      <c r="E21" s="278"/>
      <c r="F21" s="278"/>
      <c r="G21" s="278"/>
      <c r="H21" s="278"/>
      <c r="I21" s="278"/>
      <c r="J21" s="278"/>
    </row>
    <row r="22" spans="1:11" x14ac:dyDescent="0.25">
      <c r="A22" s="278" t="s">
        <v>149</v>
      </c>
      <c r="B22" s="278"/>
      <c r="C22" s="278"/>
      <c r="D22" s="278"/>
      <c r="E22" s="278"/>
      <c r="F22" s="278"/>
      <c r="G22" s="278"/>
      <c r="H22" s="278"/>
      <c r="I22" s="278"/>
      <c r="J22" s="278"/>
    </row>
    <row r="23" spans="1:11" x14ac:dyDescent="0.25">
      <c r="A23" s="278" t="s">
        <v>92</v>
      </c>
      <c r="B23" s="278"/>
      <c r="C23" s="278"/>
      <c r="D23" s="278"/>
      <c r="E23" s="278"/>
      <c r="F23" s="278"/>
      <c r="G23" s="278"/>
      <c r="H23" s="278"/>
      <c r="I23" s="278"/>
      <c r="J23" s="278"/>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2.0n – © 2015-2019, William W. Davis, MSPM, PMP</v>
      </c>
    </row>
    <row r="19" spans="1:10" x14ac:dyDescent="0.25">
      <c r="A19" s="278" t="s">
        <v>137</v>
      </c>
      <c r="B19" s="278"/>
      <c r="C19" s="278"/>
      <c r="D19" s="278"/>
      <c r="E19" s="278"/>
      <c r="F19" s="278"/>
      <c r="G19" s="278"/>
      <c r="H19" s="278"/>
      <c r="I19" s="278"/>
      <c r="J19" s="278"/>
    </row>
    <row r="20" spans="1:10" x14ac:dyDescent="0.25">
      <c r="A20" s="278" t="s">
        <v>136</v>
      </c>
      <c r="B20" s="278"/>
      <c r="C20" s="278"/>
      <c r="D20" s="278"/>
      <c r="E20" s="278"/>
      <c r="F20" s="278"/>
      <c r="G20" s="278"/>
      <c r="H20" s="278"/>
      <c r="I20" s="278"/>
      <c r="J20" s="278"/>
    </row>
    <row r="21" spans="1:10" x14ac:dyDescent="0.25">
      <c r="A21" s="278" t="s">
        <v>91</v>
      </c>
      <c r="B21" s="278"/>
      <c r="C21" s="278"/>
      <c r="D21" s="278"/>
      <c r="E21" s="278"/>
      <c r="F21" s="278"/>
      <c r="G21" s="278"/>
      <c r="H21" s="278"/>
      <c r="I21" s="278"/>
      <c r="J21" s="278"/>
    </row>
    <row r="22" spans="1:10" x14ac:dyDescent="0.25">
      <c r="A22" s="278" t="s">
        <v>149</v>
      </c>
      <c r="B22" s="278"/>
      <c r="C22" s="278"/>
      <c r="D22" s="278"/>
      <c r="E22" s="278"/>
      <c r="F22" s="278"/>
      <c r="G22" s="278"/>
      <c r="H22" s="278"/>
      <c r="I22" s="278"/>
      <c r="J22" s="278"/>
    </row>
    <row r="23" spans="1:10" x14ac:dyDescent="0.25">
      <c r="A23" s="278" t="s">
        <v>92</v>
      </c>
      <c r="B23" s="278"/>
      <c r="C23" s="278"/>
      <c r="D23" s="278"/>
      <c r="E23" s="278"/>
      <c r="F23" s="278"/>
      <c r="G23" s="278"/>
      <c r="H23" s="278"/>
      <c r="I23" s="278"/>
      <c r="J23" s="278"/>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79" t="s">
        <v>141</v>
      </c>
      <c r="B1" s="94">
        <v>-0.05</v>
      </c>
    </row>
    <row r="2" spans="1:2" x14ac:dyDescent="0.25">
      <c r="A2" s="280"/>
      <c r="B2" s="94">
        <v>-0.1</v>
      </c>
    </row>
    <row r="3" spans="1:2" x14ac:dyDescent="0.25">
      <c r="A3" s="280"/>
      <c r="B3" s="94">
        <v>-0.15</v>
      </c>
    </row>
    <row r="4" spans="1:2" x14ac:dyDescent="0.25">
      <c r="A4" s="280"/>
      <c r="B4" s="94">
        <v>-0.2</v>
      </c>
    </row>
    <row r="5" spans="1:2" x14ac:dyDescent="0.25">
      <c r="A5" s="280"/>
      <c r="B5" s="94">
        <v>-0.25</v>
      </c>
    </row>
    <row r="6" spans="1:2" x14ac:dyDescent="0.25">
      <c r="A6" s="280"/>
      <c r="B6" s="94">
        <v>-0.3</v>
      </c>
    </row>
    <row r="7" spans="1:2" x14ac:dyDescent="0.25">
      <c r="A7" s="280"/>
      <c r="B7" s="94">
        <v>-0.35</v>
      </c>
    </row>
    <row r="8" spans="1:2" x14ac:dyDescent="0.25">
      <c r="A8" s="280"/>
      <c r="B8" s="94">
        <v>-0.4</v>
      </c>
    </row>
    <row r="9" spans="1:2" x14ac:dyDescent="0.25">
      <c r="A9" s="280"/>
      <c r="B9" s="94">
        <v>-0.5</v>
      </c>
    </row>
    <row r="10" spans="1:2" x14ac:dyDescent="0.25">
      <c r="A10" s="280"/>
      <c r="B10" s="94">
        <v>-0.6</v>
      </c>
    </row>
    <row r="11" spans="1:2" x14ac:dyDescent="0.25">
      <c r="A11" s="281"/>
      <c r="B11" s="94">
        <v>-0.7</v>
      </c>
    </row>
    <row r="12" spans="1:2" x14ac:dyDescent="0.25">
      <c r="B12" s="95"/>
    </row>
    <row r="14" spans="1:2" x14ac:dyDescent="0.25">
      <c r="A14" s="282" t="s">
        <v>142</v>
      </c>
      <c r="B14" s="94">
        <v>0.1</v>
      </c>
    </row>
    <row r="15" spans="1:2" x14ac:dyDescent="0.25">
      <c r="A15" s="282"/>
      <c r="B15" s="94">
        <v>0.2</v>
      </c>
    </row>
    <row r="16" spans="1:2" x14ac:dyDescent="0.25">
      <c r="A16" s="282"/>
      <c r="B16" s="94">
        <v>0.3</v>
      </c>
    </row>
    <row r="17" spans="1:11" x14ac:dyDescent="0.25">
      <c r="A17" s="282"/>
      <c r="B17" s="94">
        <v>0.4</v>
      </c>
    </row>
    <row r="18" spans="1:11" x14ac:dyDescent="0.25">
      <c r="A18" s="282"/>
      <c r="B18" s="94">
        <v>0.5</v>
      </c>
    </row>
    <row r="19" spans="1:11" x14ac:dyDescent="0.25">
      <c r="A19" s="282"/>
      <c r="B19" s="94">
        <v>0.75</v>
      </c>
    </row>
    <row r="20" spans="1:11" x14ac:dyDescent="0.25">
      <c r="A20" s="282"/>
      <c r="B20" s="94">
        <v>1</v>
      </c>
    </row>
    <row r="21" spans="1:11" x14ac:dyDescent="0.25">
      <c r="A21" s="282"/>
      <c r="B21" s="94">
        <v>1.25</v>
      </c>
    </row>
    <row r="22" spans="1:11" x14ac:dyDescent="0.25">
      <c r="A22" s="282"/>
      <c r="B22" s="94">
        <v>1.5</v>
      </c>
    </row>
    <row r="23" spans="1:11" x14ac:dyDescent="0.25">
      <c r="A23" s="282"/>
      <c r="B23" s="94">
        <v>1.75</v>
      </c>
    </row>
    <row r="24" spans="1:11" x14ac:dyDescent="0.25">
      <c r="A24" s="282"/>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2.0n – © 2015-2019, William W. Davis, MSPM, PMP</v>
      </c>
    </row>
    <row r="37" spans="1:10" x14ac:dyDescent="0.25">
      <c r="A37" s="278" t="s">
        <v>137</v>
      </c>
      <c r="B37" s="278"/>
      <c r="C37" s="278"/>
      <c r="D37" s="278"/>
      <c r="E37" s="278"/>
      <c r="F37" s="278"/>
      <c r="G37" s="278"/>
      <c r="H37" s="278"/>
      <c r="I37" s="278"/>
      <c r="J37" s="278"/>
    </row>
    <row r="38" spans="1:10" x14ac:dyDescent="0.25">
      <c r="A38" s="278" t="s">
        <v>136</v>
      </c>
      <c r="B38" s="278"/>
      <c r="C38" s="278"/>
      <c r="D38" s="278"/>
      <c r="E38" s="278"/>
      <c r="F38" s="278"/>
      <c r="G38" s="278"/>
      <c r="H38" s="278"/>
      <c r="I38" s="278"/>
      <c r="J38" s="278"/>
    </row>
    <row r="39" spans="1:10" x14ac:dyDescent="0.25">
      <c r="A39" s="278" t="s">
        <v>91</v>
      </c>
      <c r="B39" s="278"/>
      <c r="C39" s="278"/>
      <c r="D39" s="278"/>
      <c r="E39" s="278"/>
      <c r="F39" s="278"/>
      <c r="G39" s="278"/>
      <c r="H39" s="278"/>
      <c r="I39" s="278"/>
      <c r="J39" s="278"/>
    </row>
    <row r="40" spans="1:10" x14ac:dyDescent="0.25">
      <c r="A40" s="278" t="s">
        <v>149</v>
      </c>
      <c r="B40" s="278"/>
      <c r="C40" s="278"/>
      <c r="D40" s="278"/>
      <c r="E40" s="278"/>
      <c r="F40" s="278"/>
      <c r="G40" s="278"/>
      <c r="H40" s="278"/>
      <c r="I40" s="278"/>
      <c r="J40" s="278"/>
    </row>
    <row r="41" spans="1:10" x14ac:dyDescent="0.25">
      <c r="A41" s="278" t="s">
        <v>92</v>
      </c>
      <c r="B41" s="278"/>
      <c r="C41" s="278"/>
      <c r="D41" s="278"/>
      <c r="E41" s="278"/>
      <c r="F41" s="278"/>
      <c r="G41" s="278"/>
      <c r="H41" s="278"/>
      <c r="I41" s="278"/>
      <c r="J41" s="278"/>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7"/>
  <sheetViews>
    <sheetView showGridLines="0" workbookViewId="0">
      <selection activeCell="A2" sqref="A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43653</v>
      </c>
      <c r="B2" s="184" t="s">
        <v>756</v>
      </c>
      <c r="C2" s="185"/>
    </row>
    <row r="3" spans="1:3" x14ac:dyDescent="0.25">
      <c r="A3" s="183">
        <v>43653</v>
      </c>
      <c r="B3" s="184" t="s">
        <v>751</v>
      </c>
      <c r="C3" s="185" t="s">
        <v>753</v>
      </c>
    </row>
    <row r="4" spans="1:3" x14ac:dyDescent="0.25">
      <c r="A4" s="183">
        <v>43653</v>
      </c>
      <c r="B4" s="184" t="s">
        <v>716</v>
      </c>
      <c r="C4" s="185" t="s">
        <v>750</v>
      </c>
    </row>
    <row r="5" spans="1:3" x14ac:dyDescent="0.25">
      <c r="A5" s="183">
        <v>43647</v>
      </c>
      <c r="B5" s="184" t="s">
        <v>714</v>
      </c>
      <c r="C5" s="185" t="s">
        <v>715</v>
      </c>
    </row>
    <row r="6" spans="1:3" x14ac:dyDescent="0.25">
      <c r="A6" s="183">
        <v>43646</v>
      </c>
      <c r="B6" s="184" t="s">
        <v>711</v>
      </c>
      <c r="C6" s="185" t="s">
        <v>713</v>
      </c>
    </row>
    <row r="7" spans="1:3" x14ac:dyDescent="0.25">
      <c r="A7" s="183">
        <v>43645</v>
      </c>
      <c r="B7" s="184" t="s">
        <v>707</v>
      </c>
      <c r="C7" s="185" t="s">
        <v>712</v>
      </c>
    </row>
    <row r="8" spans="1:3" x14ac:dyDescent="0.25">
      <c r="A8" s="183">
        <v>43645</v>
      </c>
      <c r="B8" s="184" t="s">
        <v>705</v>
      </c>
      <c r="C8" s="185" t="s">
        <v>706</v>
      </c>
    </row>
    <row r="9" spans="1:3" x14ac:dyDescent="0.25">
      <c r="A9" s="183">
        <v>43645</v>
      </c>
      <c r="B9" s="184" t="s">
        <v>703</v>
      </c>
      <c r="C9" s="185" t="s">
        <v>704</v>
      </c>
    </row>
    <row r="10" spans="1:3" x14ac:dyDescent="0.25">
      <c r="A10" s="183">
        <v>43645</v>
      </c>
      <c r="B10" s="184" t="s">
        <v>702</v>
      </c>
      <c r="C10" s="185" t="s">
        <v>701</v>
      </c>
    </row>
    <row r="11" spans="1:3" x14ac:dyDescent="0.25">
      <c r="A11" s="183">
        <v>43644</v>
      </c>
      <c r="B11" s="184" t="s">
        <v>688</v>
      </c>
      <c r="C11" s="185" t="s">
        <v>697</v>
      </c>
    </row>
    <row r="12" spans="1:3" x14ac:dyDescent="0.25">
      <c r="A12" s="183">
        <v>43643</v>
      </c>
      <c r="B12" s="184" t="s">
        <v>686</v>
      </c>
      <c r="C12" s="185" t="s">
        <v>698</v>
      </c>
    </row>
    <row r="13" spans="1:3" x14ac:dyDescent="0.25">
      <c r="A13" s="183">
        <v>43642</v>
      </c>
      <c r="B13" s="184" t="s">
        <v>685</v>
      </c>
      <c r="C13" s="185" t="s">
        <v>699</v>
      </c>
    </row>
    <row r="14" spans="1:3" x14ac:dyDescent="0.25">
      <c r="A14" s="183">
        <v>43641</v>
      </c>
      <c r="B14" s="184" t="s">
        <v>161</v>
      </c>
      <c r="C14" s="185" t="s">
        <v>700</v>
      </c>
    </row>
    <row r="15" spans="1:3" x14ac:dyDescent="0.25">
      <c r="A15" s="173">
        <v>43543</v>
      </c>
      <c r="B15" s="174" t="s">
        <v>147</v>
      </c>
      <c r="C15" s="41" t="s">
        <v>148</v>
      </c>
    </row>
    <row r="16" spans="1:3" x14ac:dyDescent="0.25">
      <c r="A16" s="173">
        <v>43365</v>
      </c>
      <c r="B16" s="174" t="s">
        <v>145</v>
      </c>
      <c r="C16" s="41" t="s">
        <v>146</v>
      </c>
    </row>
    <row r="17" spans="1:3" x14ac:dyDescent="0.25">
      <c r="A17" s="173">
        <v>42795</v>
      </c>
      <c r="B17" s="174" t="s">
        <v>139</v>
      </c>
      <c r="C17" s="41" t="s">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Welcome!</vt:lpstr>
      <vt:lpstr>SPERT® Beta for Beginners</vt:lpstr>
      <vt:lpstr>SPERT® Beta (1-Point entry)</vt:lpstr>
      <vt:lpstr>SPERT® Beta (3-Point entry)</vt:lpstr>
      <vt:lpstr>SPERT® Beta (Mixed entry)</vt:lpstr>
      <vt:lpstr>SPERT® Beta - Charts</vt:lpstr>
      <vt:lpstr>SPERT® Beta - Agile Forecast</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2019-07-07T18:53:41Z</dcterms:modified>
</cp:coreProperties>
</file>